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9855" activeTab="0"/>
  </bookViews>
  <sheets>
    <sheet name="O-6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<sst xmlns="http://schemas.openxmlformats.org/spreadsheetml/2006/main" count="76" uniqueCount="44">
  <si>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出典：福井県統計年鑑</t>
  </si>
  <si>
    <t>資料：中部運輸局福井運輸支局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</si>
  <si>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</si>
  <si>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</si>
  <si>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</si>
  <si>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</si>
  <si>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</si>
  <si>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</si>
  <si>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</si>
  <si>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</si>
  <si>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坂井町</t>
  </si>
  <si>
    <t>春江町</t>
  </si>
  <si>
    <t>丸岡町</t>
  </si>
  <si>
    <t>三国町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</si>
  <si>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</si>
  <si>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</si>
  <si>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</si>
  <si>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</si>
  <si>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</si>
  <si>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</si>
  <si>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</si>
  <si>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</si>
  <si>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大型
特殊</t>
  </si>
  <si>
    <t>特殊
用途</t>
  </si>
  <si>
    <t>小型</t>
  </si>
  <si>
    <t>普通</t>
  </si>
  <si>
    <t>被けん引</t>
  </si>
  <si>
    <t>特殊
用途用</t>
  </si>
  <si>
    <t>乗用</t>
  </si>
  <si>
    <t>貨物</t>
  </si>
  <si>
    <t>二輪</t>
  </si>
  <si>
    <t>特種(殊)</t>
  </si>
  <si>
    <t>乗用</t>
  </si>
  <si>
    <t>乗合</t>
  </si>
  <si>
    <t>貨物</t>
  </si>
  <si>
    <t>計</t>
  </si>
  <si>
    <t>軽</t>
  </si>
  <si>
    <t>小型
二輪</t>
  </si>
  <si>
    <t>登録車</t>
  </si>
  <si>
    <t>総計</t>
  </si>
  <si>
    <t>年次</t>
  </si>
  <si>
    <t>単位：台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</si>
  <si>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</si>
  <si>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O-6．車種別自動車保有状況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</si>
</sst>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38" fontId="2" fillId="0" borderId="25" xfId="48" applyFont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8" fontId="2" fillId="0" borderId="28" xfId="48" applyFont="1" applyBorder="1" applyAlignment="1">
      <alignment horizontal="right" vertical="center"/>
    </xf>
    <xf numFmtId="38" fontId="2" fillId="0" borderId="29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 wrapText="1"/>
    </xf>
    <xf numFmtId="176" fontId="2" fillId="0" borderId="19" xfId="0" applyNumberFormat="1" applyFont="1" applyBorder="1" applyAlignment="1">
      <alignment vertical="center" wrapText="1" shrinkToFit="1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176" fontId="2" fillId="0" borderId="26" xfId="0" applyNumberFormat="1" applyFont="1" applyBorder="1" applyAlignment="1">
      <alignment vertical="center" wrapText="1" shrinkToFit="1"/>
    </xf>
    <xf numFmtId="176" fontId="2" fillId="0" borderId="2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 wrapText="1"/>
    </xf>
    <xf numFmtId="176" fontId="4" fillId="0" borderId="31" xfId="0" applyNumberFormat="1" applyFont="1" applyBorder="1" applyAlignment="1">
      <alignment vertical="center" wrapText="1" shrinkToFit="1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 shrinkToFit="1"/>
    </xf>
    <xf numFmtId="0" fontId="2" fillId="0" borderId="19" xfId="0" applyFont="1" applyBorder="1" applyAlignment="1">
      <alignment horizontal="distributed" vertical="center" wrapText="1" shrinkToFit="1"/>
    </xf>
    <xf numFmtId="0" fontId="2" fillId="0" borderId="2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7.125" style="1" customWidth="1"/>
    <col min="4" max="4" width="6.625" style="1" customWidth="1"/>
    <col min="5" max="6" width="5.625" style="1" customWidth="1"/>
    <col min="7" max="7" width="4.625" style="1" customWidth="1"/>
    <col min="8" max="9" width="4.125" style="1" customWidth="1"/>
    <col min="10" max="11" width="6.125" style="1" customWidth="1"/>
    <col min="12" max="12" width="5.625" style="1" customWidth="1"/>
    <col min="13" max="13" width="4.625" style="1" customWidth="1"/>
    <col min="14" max="14" width="4.375" style="1" customWidth="1"/>
    <col min="15" max="15" width="4.625" style="1" customWidth="1"/>
    <col min="16" max="17" width="5.625" style="1" customWidth="1"/>
    <col min="18" max="18" width="4.625" style="1" customWidth="1"/>
    <col min="19" max="16384" width="9.00390625" style="1" customWidth="1"/>
  </cols>
  <sheetData>
    <row r="1" ht="30" customHeight="1">
      <c r="A1" s="76" t="s">
        <v>43</v>
      </c>
    </row>
    <row r="2" spans="2:18" ht="18" customHeight="1">
      <c r="B2" s="75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3"/>
      <c r="P2" s="73"/>
      <c r="R2" s="72" t="s">
        <v>41</v>
      </c>
    </row>
    <row r="3" spans="2:18" ht="15" customHeight="1">
      <c r="B3" s="77" t="s">
        <v>40</v>
      </c>
      <c r="C3" s="78" t="s">
        <v>39</v>
      </c>
      <c r="D3" s="81" t="s">
        <v>38</v>
      </c>
      <c r="E3" s="82"/>
      <c r="F3" s="82"/>
      <c r="G3" s="82"/>
      <c r="H3" s="82"/>
      <c r="I3" s="82"/>
      <c r="J3" s="82"/>
      <c r="K3" s="82"/>
      <c r="L3" s="82"/>
      <c r="M3" s="83"/>
      <c r="N3" s="104" t="s">
        <v>37</v>
      </c>
      <c r="O3" s="106" t="s">
        <v>36</v>
      </c>
      <c r="P3" s="107"/>
      <c r="Q3" s="107"/>
      <c r="R3" s="108"/>
    </row>
    <row r="4" spans="2:18" ht="15" customHeight="1">
      <c r="B4" s="77"/>
      <c r="C4" s="79"/>
      <c r="D4" s="88" t="s">
        <v>35</v>
      </c>
      <c r="E4" s="90" t="s">
        <v>34</v>
      </c>
      <c r="F4" s="90"/>
      <c r="G4" s="90"/>
      <c r="H4" s="90" t="s">
        <v>33</v>
      </c>
      <c r="I4" s="90"/>
      <c r="J4" s="90" t="s">
        <v>32</v>
      </c>
      <c r="K4" s="90"/>
      <c r="L4" s="97" t="s">
        <v>31</v>
      </c>
      <c r="M4" s="98"/>
      <c r="N4" s="105"/>
      <c r="O4" s="89" t="s">
        <v>30</v>
      </c>
      <c r="P4" s="100" t="s">
        <v>29</v>
      </c>
      <c r="Q4" s="102" t="s">
        <v>28</v>
      </c>
      <c r="R4" s="91" t="s">
        <v>27</v>
      </c>
    </row>
    <row r="5" spans="2:18" ht="15" customHeight="1">
      <c r="B5" s="77"/>
      <c r="C5" s="79"/>
      <c r="D5" s="88"/>
      <c r="E5" s="86" t="s">
        <v>25</v>
      </c>
      <c r="F5" s="86" t="s">
        <v>24</v>
      </c>
      <c r="G5" s="84" t="s">
        <v>26</v>
      </c>
      <c r="H5" s="86" t="s">
        <v>25</v>
      </c>
      <c r="I5" s="86" t="s">
        <v>24</v>
      </c>
      <c r="J5" s="86" t="s">
        <v>25</v>
      </c>
      <c r="K5" s="86" t="s">
        <v>24</v>
      </c>
      <c r="L5" s="93" t="s">
        <v>23</v>
      </c>
      <c r="M5" s="95" t="s">
        <v>22</v>
      </c>
      <c r="N5" s="105"/>
      <c r="O5" s="99"/>
      <c r="P5" s="101"/>
      <c r="Q5" s="103"/>
      <c r="R5" s="92"/>
    </row>
    <row r="6" spans="2:18" ht="15" customHeight="1">
      <c r="B6" s="77"/>
      <c r="C6" s="80"/>
      <c r="D6" s="89"/>
      <c r="E6" s="87"/>
      <c r="F6" s="87"/>
      <c r="G6" s="85"/>
      <c r="H6" s="87"/>
      <c r="I6" s="87"/>
      <c r="J6" s="87"/>
      <c r="K6" s="87"/>
      <c r="L6" s="94"/>
      <c r="M6" s="96"/>
      <c r="N6" s="105"/>
      <c r="O6" s="99"/>
      <c r="P6" s="101"/>
      <c r="Q6" s="103"/>
      <c r="R6" s="92"/>
    </row>
    <row r="7" spans="2:18" ht="15" customHeight="1">
      <c r="B7" s="70" t="s">
        <v>21</v>
      </c>
      <c r="C7" s="69">
        <f aca="true" t="shared" si="0" ref="C7:Q7">SUM(C8:C11)</f>
        <v>63808</v>
      </c>
      <c r="D7" s="64">
        <f t="shared" si="0"/>
        <v>42869</v>
      </c>
      <c r="E7" s="68">
        <f t="shared" si="0"/>
        <v>2303</v>
      </c>
      <c r="F7" s="63">
        <f t="shared" si="0"/>
        <v>4272</v>
      </c>
      <c r="G7" s="63">
        <f t="shared" si="0"/>
        <v>137</v>
      </c>
      <c r="H7" s="63">
        <f t="shared" si="0"/>
        <v>37</v>
      </c>
      <c r="I7" s="63">
        <f t="shared" si="0"/>
        <v>110</v>
      </c>
      <c r="J7" s="63">
        <f t="shared" si="0"/>
        <v>8897</v>
      </c>
      <c r="K7" s="63">
        <f t="shared" si="0"/>
        <v>25799</v>
      </c>
      <c r="L7" s="67">
        <f t="shared" si="0"/>
        <v>950</v>
      </c>
      <c r="M7" s="66">
        <f t="shared" si="0"/>
        <v>364</v>
      </c>
      <c r="N7" s="65">
        <f t="shared" si="0"/>
        <v>701</v>
      </c>
      <c r="O7" s="64">
        <f t="shared" si="0"/>
        <v>699</v>
      </c>
      <c r="P7" s="63">
        <f t="shared" si="0"/>
        <v>11185</v>
      </c>
      <c r="Q7" s="62">
        <f t="shared" si="0"/>
        <v>8354</v>
      </c>
      <c r="R7" s="71"/>
    </row>
    <row r="8" spans="2:18" ht="15" customHeight="1" hidden="1">
      <c r="B8" s="37" t="s">
        <v>13</v>
      </c>
      <c r="C8" s="61">
        <f>+D8+N8+O8+P8+Q8</f>
        <v>17218</v>
      </c>
      <c r="D8" s="56">
        <f>SUM(E8:M8)</f>
        <v>11341</v>
      </c>
      <c r="E8" s="60">
        <f>344+124</f>
        <v>468</v>
      </c>
      <c r="F8" s="55">
        <f>1105+6</f>
        <v>1111</v>
      </c>
      <c r="G8" s="55">
        <f>4+8</f>
        <v>12</v>
      </c>
      <c r="H8" s="55">
        <v>7</v>
      </c>
      <c r="I8" s="55">
        <v>37</v>
      </c>
      <c r="J8" s="55">
        <v>2408</v>
      </c>
      <c r="K8" s="55">
        <f>6828+21</f>
        <v>6849</v>
      </c>
      <c r="L8" s="59">
        <f>194+124</f>
        <v>318</v>
      </c>
      <c r="M8" s="58">
        <v>131</v>
      </c>
      <c r="N8" s="57">
        <v>204</v>
      </c>
      <c r="O8" s="56">
        <v>202</v>
      </c>
      <c r="P8" s="55">
        <v>3116</v>
      </c>
      <c r="Q8" s="54">
        <v>2355</v>
      </c>
      <c r="R8" s="45"/>
    </row>
    <row r="9" spans="2:18" ht="15" customHeight="1" hidden="1">
      <c r="B9" s="37" t="s">
        <v>12</v>
      </c>
      <c r="C9" s="61">
        <f>+D9+N9+O9+P9+Q9</f>
        <v>21721</v>
      </c>
      <c r="D9" s="56">
        <f>SUM(E9:M9)</f>
        <v>15174</v>
      </c>
      <c r="E9" s="60">
        <f>731+287</f>
        <v>1018</v>
      </c>
      <c r="F9" s="55">
        <f>1518+9</f>
        <v>1527</v>
      </c>
      <c r="G9" s="55">
        <f>24+57</f>
        <v>81</v>
      </c>
      <c r="H9" s="55">
        <v>24</v>
      </c>
      <c r="I9" s="55">
        <v>40</v>
      </c>
      <c r="J9" s="55">
        <v>3070</v>
      </c>
      <c r="K9" s="55">
        <f>8918+18</f>
        <v>8936</v>
      </c>
      <c r="L9" s="59">
        <f>312+45</f>
        <v>357</v>
      </c>
      <c r="M9" s="58">
        <v>121</v>
      </c>
      <c r="N9" s="57">
        <v>241</v>
      </c>
      <c r="O9" s="56">
        <v>255</v>
      </c>
      <c r="P9" s="55">
        <v>3337</v>
      </c>
      <c r="Q9" s="54">
        <v>2714</v>
      </c>
      <c r="R9" s="45"/>
    </row>
    <row r="10" spans="2:18" ht="15" customHeight="1" hidden="1">
      <c r="B10" s="37" t="s">
        <v>11</v>
      </c>
      <c r="C10" s="61">
        <f>+D10+N10+O10+P10+Q10</f>
        <v>15629</v>
      </c>
      <c r="D10" s="56">
        <f>SUM(E10:M10)</f>
        <v>10606</v>
      </c>
      <c r="E10" s="60">
        <f>389+125</f>
        <v>514</v>
      </c>
      <c r="F10" s="55">
        <f>1073+9</f>
        <v>1082</v>
      </c>
      <c r="G10" s="55">
        <f>1+7</f>
        <v>8</v>
      </c>
      <c r="H10" s="55">
        <v>5</v>
      </c>
      <c r="I10" s="55">
        <v>19</v>
      </c>
      <c r="J10" s="55">
        <v>2246</v>
      </c>
      <c r="K10" s="55">
        <f>6468+11</f>
        <v>6479</v>
      </c>
      <c r="L10" s="59">
        <f>175+12</f>
        <v>187</v>
      </c>
      <c r="M10" s="58">
        <v>66</v>
      </c>
      <c r="N10" s="57">
        <v>159</v>
      </c>
      <c r="O10" s="56">
        <v>138</v>
      </c>
      <c r="P10" s="55">
        <v>2536</v>
      </c>
      <c r="Q10" s="54">
        <v>2190</v>
      </c>
      <c r="R10" s="45"/>
    </row>
    <row r="11" spans="2:18" ht="15" customHeight="1" hidden="1">
      <c r="B11" s="30" t="s">
        <v>10</v>
      </c>
      <c r="C11" s="61">
        <f>+D11+N11+O11+P11+Q11</f>
        <v>9240</v>
      </c>
      <c r="D11" s="56">
        <f>SUM(E11:M11)</f>
        <v>5748</v>
      </c>
      <c r="E11" s="52">
        <f>183+120</f>
        <v>303</v>
      </c>
      <c r="F11" s="47">
        <f>549+3</f>
        <v>552</v>
      </c>
      <c r="G11" s="47">
        <v>36</v>
      </c>
      <c r="H11" s="47">
        <v>1</v>
      </c>
      <c r="I11" s="47">
        <v>14</v>
      </c>
      <c r="J11" s="47">
        <v>1173</v>
      </c>
      <c r="K11" s="47">
        <v>3535</v>
      </c>
      <c r="L11" s="51">
        <v>88</v>
      </c>
      <c r="M11" s="50">
        <v>46</v>
      </c>
      <c r="N11" s="49">
        <v>97</v>
      </c>
      <c r="O11" s="48">
        <v>104</v>
      </c>
      <c r="P11" s="47">
        <v>2196</v>
      </c>
      <c r="Q11" s="46">
        <v>1095</v>
      </c>
      <c r="R11" s="45"/>
    </row>
    <row r="12" spans="2:18" ht="15" customHeight="1">
      <c r="B12" s="70" t="s">
        <v>20</v>
      </c>
      <c r="C12" s="69">
        <f aca="true" t="shared" si="1" ref="C12:Q12">SUM(C13:C16)</f>
        <v>65143</v>
      </c>
      <c r="D12" s="64">
        <f t="shared" si="1"/>
        <v>43766</v>
      </c>
      <c r="E12" s="68">
        <f t="shared" si="1"/>
        <v>2322</v>
      </c>
      <c r="F12" s="63">
        <f t="shared" si="1"/>
        <v>4155</v>
      </c>
      <c r="G12" s="63">
        <f t="shared" si="1"/>
        <v>136</v>
      </c>
      <c r="H12" s="63">
        <f t="shared" si="1"/>
        <v>40</v>
      </c>
      <c r="I12" s="63">
        <f t="shared" si="1"/>
        <v>102</v>
      </c>
      <c r="J12" s="63">
        <f t="shared" si="1"/>
        <v>9714</v>
      </c>
      <c r="K12" s="63">
        <f t="shared" si="1"/>
        <v>25863</v>
      </c>
      <c r="L12" s="67">
        <f t="shared" si="1"/>
        <v>1012</v>
      </c>
      <c r="M12" s="66">
        <f t="shared" si="1"/>
        <v>422</v>
      </c>
      <c r="N12" s="65">
        <f t="shared" si="1"/>
        <v>706</v>
      </c>
      <c r="O12" s="64">
        <f t="shared" si="1"/>
        <v>701</v>
      </c>
      <c r="P12" s="63">
        <f t="shared" si="1"/>
        <v>10748</v>
      </c>
      <c r="Q12" s="62">
        <f t="shared" si="1"/>
        <v>9272</v>
      </c>
      <c r="R12" s="45"/>
    </row>
    <row r="13" spans="2:18" ht="15" customHeight="1">
      <c r="B13" s="37" t="s">
        <v>13</v>
      </c>
      <c r="C13" s="61">
        <v>17469</v>
      </c>
      <c r="D13" s="56">
        <f>SUM(E13:M13)</f>
        <v>11534</v>
      </c>
      <c r="E13" s="60">
        <v>472</v>
      </c>
      <c r="F13" s="55">
        <v>1072</v>
      </c>
      <c r="G13" s="55">
        <v>13</v>
      </c>
      <c r="H13" s="55">
        <v>8</v>
      </c>
      <c r="I13" s="55">
        <v>35</v>
      </c>
      <c r="J13" s="55">
        <v>2585</v>
      </c>
      <c r="K13" s="55">
        <v>6885</v>
      </c>
      <c r="L13" s="59">
        <v>334</v>
      </c>
      <c r="M13" s="58">
        <v>130</v>
      </c>
      <c r="N13" s="57">
        <v>211</v>
      </c>
      <c r="O13" s="56">
        <v>217</v>
      </c>
      <c r="P13" s="55">
        <v>2949</v>
      </c>
      <c r="Q13" s="54">
        <v>2558</v>
      </c>
      <c r="R13" s="45"/>
    </row>
    <row r="14" spans="2:18" ht="15" customHeight="1">
      <c r="B14" s="37" t="s">
        <v>12</v>
      </c>
      <c r="C14" s="61">
        <v>22234</v>
      </c>
      <c r="D14" s="56">
        <f>SUM(E14:M14)</f>
        <v>12982</v>
      </c>
      <c r="E14" s="60">
        <v>1023</v>
      </c>
      <c r="F14" s="55">
        <v>1480</v>
      </c>
      <c r="G14" s="55">
        <v>76</v>
      </c>
      <c r="H14" s="55">
        <v>24</v>
      </c>
      <c r="I14" s="55">
        <v>35</v>
      </c>
      <c r="J14" s="55">
        <v>3338</v>
      </c>
      <c r="K14" s="55">
        <v>6494</v>
      </c>
      <c r="L14" s="59">
        <v>385</v>
      </c>
      <c r="M14" s="58">
        <v>127</v>
      </c>
      <c r="N14" s="57">
        <v>256</v>
      </c>
      <c r="O14" s="56">
        <v>249</v>
      </c>
      <c r="P14" s="55">
        <v>3228</v>
      </c>
      <c r="Q14" s="54">
        <v>3073</v>
      </c>
      <c r="R14" s="45"/>
    </row>
    <row r="15" spans="2:18" ht="15" customHeight="1">
      <c r="B15" s="37" t="s">
        <v>11</v>
      </c>
      <c r="C15" s="61">
        <v>15936</v>
      </c>
      <c r="D15" s="56">
        <f>SUM(E15:M15)</f>
        <v>13257</v>
      </c>
      <c r="E15" s="60">
        <v>517</v>
      </c>
      <c r="F15" s="55">
        <v>1049</v>
      </c>
      <c r="G15" s="55">
        <v>12</v>
      </c>
      <c r="H15" s="55">
        <v>6</v>
      </c>
      <c r="I15" s="55">
        <v>16</v>
      </c>
      <c r="J15" s="55">
        <v>2455</v>
      </c>
      <c r="K15" s="55">
        <v>8940</v>
      </c>
      <c r="L15" s="59">
        <v>195</v>
      </c>
      <c r="M15" s="58">
        <v>67</v>
      </c>
      <c r="N15" s="57">
        <v>153</v>
      </c>
      <c r="O15" s="56">
        <v>136</v>
      </c>
      <c r="P15" s="55">
        <v>2434</v>
      </c>
      <c r="Q15" s="54">
        <v>2402</v>
      </c>
      <c r="R15" s="45"/>
    </row>
    <row r="16" spans="2:18" ht="15" customHeight="1">
      <c r="B16" s="30" t="s">
        <v>10</v>
      </c>
      <c r="C16" s="61">
        <v>9504</v>
      </c>
      <c r="D16" s="56">
        <f>SUM(E16:M16)</f>
        <v>5993</v>
      </c>
      <c r="E16" s="52">
        <v>310</v>
      </c>
      <c r="F16" s="47">
        <v>554</v>
      </c>
      <c r="G16" s="47">
        <v>35</v>
      </c>
      <c r="H16" s="47">
        <v>2</v>
      </c>
      <c r="I16" s="47">
        <v>16</v>
      </c>
      <c r="J16" s="47">
        <v>1336</v>
      </c>
      <c r="K16" s="47">
        <v>3544</v>
      </c>
      <c r="L16" s="51">
        <v>98</v>
      </c>
      <c r="M16" s="50">
        <v>98</v>
      </c>
      <c r="N16" s="49">
        <v>86</v>
      </c>
      <c r="O16" s="48">
        <v>99</v>
      </c>
      <c r="P16" s="47">
        <v>2137</v>
      </c>
      <c r="Q16" s="46">
        <v>1239</v>
      </c>
      <c r="R16" s="45"/>
    </row>
    <row r="17" spans="2:18" ht="15" customHeight="1">
      <c r="B17" s="70" t="s">
        <v>19</v>
      </c>
      <c r="C17" s="69">
        <f aca="true" t="shared" si="2" ref="C17:Q17">SUM(C18:C21)</f>
        <v>66745</v>
      </c>
      <c r="D17" s="64">
        <f t="shared" si="2"/>
        <v>44420</v>
      </c>
      <c r="E17" s="68">
        <f t="shared" si="2"/>
        <v>2323</v>
      </c>
      <c r="F17" s="63">
        <f t="shared" si="2"/>
        <v>4088</v>
      </c>
      <c r="G17" s="63">
        <f t="shared" si="2"/>
        <v>129</v>
      </c>
      <c r="H17" s="63">
        <f t="shared" si="2"/>
        <v>42</v>
      </c>
      <c r="I17" s="63">
        <f t="shared" si="2"/>
        <v>106</v>
      </c>
      <c r="J17" s="63">
        <f t="shared" si="2"/>
        <v>10565</v>
      </c>
      <c r="K17" s="63">
        <f t="shared" si="2"/>
        <v>25731</v>
      </c>
      <c r="L17" s="67">
        <f t="shared" si="2"/>
        <v>1052</v>
      </c>
      <c r="M17" s="66">
        <f t="shared" si="2"/>
        <v>384</v>
      </c>
      <c r="N17" s="65">
        <f t="shared" si="2"/>
        <v>722</v>
      </c>
      <c r="O17" s="64">
        <f t="shared" si="2"/>
        <v>674</v>
      </c>
      <c r="P17" s="63">
        <f t="shared" si="2"/>
        <v>10524</v>
      </c>
      <c r="Q17" s="62">
        <f t="shared" si="2"/>
        <v>10405</v>
      </c>
      <c r="R17" s="45"/>
    </row>
    <row r="18" spans="2:18" ht="15" customHeight="1">
      <c r="B18" s="37" t="s">
        <v>13</v>
      </c>
      <c r="C18" s="61">
        <f>+D18+N18+O18+P18+Q18</f>
        <v>17726</v>
      </c>
      <c r="D18" s="56">
        <f>SUM(E18:M18)</f>
        <v>11658</v>
      </c>
      <c r="E18" s="60">
        <v>471</v>
      </c>
      <c r="F18" s="55">
        <v>1040</v>
      </c>
      <c r="G18" s="55">
        <v>14</v>
      </c>
      <c r="H18" s="55">
        <v>8</v>
      </c>
      <c r="I18" s="55">
        <v>35</v>
      </c>
      <c r="J18" s="55">
        <v>2790</v>
      </c>
      <c r="K18" s="55">
        <v>6830</v>
      </c>
      <c r="L18" s="59">
        <v>335</v>
      </c>
      <c r="M18" s="58">
        <v>135</v>
      </c>
      <c r="N18" s="57">
        <v>225</v>
      </c>
      <c r="O18" s="56">
        <v>203</v>
      </c>
      <c r="P18" s="55">
        <v>2868</v>
      </c>
      <c r="Q18" s="54">
        <v>2772</v>
      </c>
      <c r="R18" s="45"/>
    </row>
    <row r="19" spans="2:18" ht="15" customHeight="1">
      <c r="B19" s="37" t="s">
        <v>12</v>
      </c>
      <c r="C19" s="61">
        <f>+D19+N19+O19+P19+Q19</f>
        <v>22897</v>
      </c>
      <c r="D19" s="56">
        <f>SUM(E19:M19)</f>
        <v>15758</v>
      </c>
      <c r="E19" s="60">
        <v>1034</v>
      </c>
      <c r="F19" s="55">
        <v>1473</v>
      </c>
      <c r="G19" s="55">
        <v>74</v>
      </c>
      <c r="H19" s="55">
        <v>25</v>
      </c>
      <c r="I19" s="55">
        <v>40</v>
      </c>
      <c r="J19" s="55">
        <v>3677</v>
      </c>
      <c r="K19" s="55">
        <v>8892</v>
      </c>
      <c r="L19" s="59">
        <v>413</v>
      </c>
      <c r="M19" s="58">
        <v>130</v>
      </c>
      <c r="N19" s="57">
        <v>260</v>
      </c>
      <c r="O19" s="56">
        <v>242</v>
      </c>
      <c r="P19" s="55">
        <v>3133</v>
      </c>
      <c r="Q19" s="54">
        <v>3504</v>
      </c>
      <c r="R19" s="45"/>
    </row>
    <row r="20" spans="2:18" ht="15" customHeight="1">
      <c r="B20" s="37" t="s">
        <v>11</v>
      </c>
      <c r="C20" s="61">
        <f>+D20+N20+O20+P20+Q20</f>
        <v>16276</v>
      </c>
      <c r="D20" s="56">
        <f>SUM(E20:M20)</f>
        <v>10920</v>
      </c>
      <c r="E20" s="60">
        <v>514</v>
      </c>
      <c r="F20" s="55">
        <v>1016</v>
      </c>
      <c r="G20" s="55">
        <v>13</v>
      </c>
      <c r="H20" s="55">
        <v>7</v>
      </c>
      <c r="I20" s="55">
        <v>17</v>
      </c>
      <c r="J20" s="55">
        <v>2630</v>
      </c>
      <c r="K20" s="55">
        <v>6456</v>
      </c>
      <c r="L20" s="59">
        <v>198</v>
      </c>
      <c r="M20" s="58">
        <v>69</v>
      </c>
      <c r="N20" s="57">
        <v>159</v>
      </c>
      <c r="O20" s="56">
        <v>135</v>
      </c>
      <c r="P20" s="55">
        <v>2379</v>
      </c>
      <c r="Q20" s="54">
        <v>2683</v>
      </c>
      <c r="R20" s="45"/>
    </row>
    <row r="21" spans="2:18" ht="15" customHeight="1">
      <c r="B21" s="30" t="s">
        <v>10</v>
      </c>
      <c r="C21" s="61">
        <f>+D21+N21+O21+P21+Q21</f>
        <v>9846</v>
      </c>
      <c r="D21" s="56">
        <f>SUM(E21:M21)</f>
        <v>6084</v>
      </c>
      <c r="E21" s="52">
        <v>304</v>
      </c>
      <c r="F21" s="47">
        <v>559</v>
      </c>
      <c r="G21" s="47">
        <v>28</v>
      </c>
      <c r="H21" s="47">
        <v>2</v>
      </c>
      <c r="I21" s="47">
        <v>14</v>
      </c>
      <c r="J21" s="47">
        <v>1468</v>
      </c>
      <c r="K21" s="47">
        <v>3553</v>
      </c>
      <c r="L21" s="51">
        <v>106</v>
      </c>
      <c r="M21" s="50">
        <v>50</v>
      </c>
      <c r="N21" s="49">
        <v>78</v>
      </c>
      <c r="O21" s="48">
        <v>94</v>
      </c>
      <c r="P21" s="47">
        <v>2144</v>
      </c>
      <c r="Q21" s="46">
        <v>1446</v>
      </c>
      <c r="R21" s="45"/>
    </row>
    <row r="22" spans="2:18" ht="15" customHeight="1">
      <c r="B22" s="70" t="s">
        <v>18</v>
      </c>
      <c r="C22" s="69">
        <f aca="true" t="shared" si="3" ref="C22:Q22">SUM(C23:C26)</f>
        <v>68085</v>
      </c>
      <c r="D22" s="64">
        <f t="shared" si="3"/>
        <v>44977</v>
      </c>
      <c r="E22" s="68">
        <f t="shared" si="3"/>
        <v>2276</v>
      </c>
      <c r="F22" s="63">
        <f t="shared" si="3"/>
        <v>3970</v>
      </c>
      <c r="G22" s="63">
        <f t="shared" si="3"/>
        <v>130</v>
      </c>
      <c r="H22" s="63">
        <f t="shared" si="3"/>
        <v>48</v>
      </c>
      <c r="I22" s="63">
        <f t="shared" si="3"/>
        <v>103</v>
      </c>
      <c r="J22" s="63">
        <f t="shared" si="3"/>
        <v>11453</v>
      </c>
      <c r="K22" s="63">
        <f t="shared" si="3"/>
        <v>25548</v>
      </c>
      <c r="L22" s="67">
        <f t="shared" si="3"/>
        <v>1052</v>
      </c>
      <c r="M22" s="66">
        <f t="shared" si="3"/>
        <v>397</v>
      </c>
      <c r="N22" s="65">
        <f t="shared" si="3"/>
        <v>766</v>
      </c>
      <c r="O22" s="64">
        <f t="shared" si="3"/>
        <v>665</v>
      </c>
      <c r="P22" s="63">
        <f t="shared" si="3"/>
        <v>10199</v>
      </c>
      <c r="Q22" s="62">
        <f t="shared" si="3"/>
        <v>11478</v>
      </c>
      <c r="R22" s="45"/>
    </row>
    <row r="23" spans="2:18" ht="15" customHeight="1">
      <c r="B23" s="37" t="s">
        <v>13</v>
      </c>
      <c r="C23" s="61">
        <f>+D23+N23+O23+P23+Q23</f>
        <v>17911</v>
      </c>
      <c r="D23" s="56">
        <f>SUM(E23:M23)</f>
        <v>11711</v>
      </c>
      <c r="E23" s="60">
        <f>312+122</f>
        <v>434</v>
      </c>
      <c r="F23" s="55">
        <v>1016</v>
      </c>
      <c r="G23" s="55">
        <v>15</v>
      </c>
      <c r="H23" s="55">
        <v>9</v>
      </c>
      <c r="I23" s="55">
        <v>35</v>
      </c>
      <c r="J23" s="55">
        <v>3014</v>
      </c>
      <c r="K23" s="55">
        <f>6695+20</f>
        <v>6715</v>
      </c>
      <c r="L23" s="59">
        <f>217+117</f>
        <v>334</v>
      </c>
      <c r="M23" s="58">
        <v>139</v>
      </c>
      <c r="N23" s="57">
        <v>230</v>
      </c>
      <c r="O23" s="56">
        <v>201</v>
      </c>
      <c r="P23" s="55">
        <v>2747</v>
      </c>
      <c r="Q23" s="54">
        <v>3022</v>
      </c>
      <c r="R23" s="45"/>
    </row>
    <row r="24" spans="2:18" ht="15" customHeight="1">
      <c r="B24" s="37" t="s">
        <v>12</v>
      </c>
      <c r="C24" s="61">
        <f>+D24+N24+O24+P24+Q24</f>
        <v>23417</v>
      </c>
      <c r="D24" s="56">
        <f>SUM(E24:M24)</f>
        <v>15949</v>
      </c>
      <c r="E24" s="60">
        <f>729+301</f>
        <v>1030</v>
      </c>
      <c r="F24" s="55">
        <f>1387+8</f>
        <v>1395</v>
      </c>
      <c r="G24" s="55">
        <f>24+51</f>
        <v>75</v>
      </c>
      <c r="H24" s="55">
        <v>30</v>
      </c>
      <c r="I24" s="55">
        <v>36</v>
      </c>
      <c r="J24" s="55">
        <v>3982</v>
      </c>
      <c r="K24" s="55">
        <v>8850</v>
      </c>
      <c r="L24" s="59">
        <f>355+59</f>
        <v>414</v>
      </c>
      <c r="M24" s="58">
        <v>137</v>
      </c>
      <c r="N24" s="57">
        <v>279</v>
      </c>
      <c r="O24" s="56">
        <v>235</v>
      </c>
      <c r="P24" s="55">
        <v>3075</v>
      </c>
      <c r="Q24" s="54">
        <v>3879</v>
      </c>
      <c r="R24" s="45"/>
    </row>
    <row r="25" spans="2:18" ht="15" customHeight="1">
      <c r="B25" s="37" t="s">
        <v>11</v>
      </c>
      <c r="C25" s="61">
        <f>+D25+N25+O25+P25+Q25</f>
        <v>16683</v>
      </c>
      <c r="D25" s="56">
        <f>SUM(E25:M25)</f>
        <v>11121</v>
      </c>
      <c r="E25" s="60">
        <f>370+136</f>
        <v>506</v>
      </c>
      <c r="F25" s="55">
        <f>979+9</f>
        <v>988</v>
      </c>
      <c r="G25" s="55">
        <v>12</v>
      </c>
      <c r="H25" s="55">
        <v>7</v>
      </c>
      <c r="I25" s="55">
        <v>16</v>
      </c>
      <c r="J25" s="55">
        <v>2864</v>
      </c>
      <c r="K25" s="55">
        <f>6447+11</f>
        <v>6458</v>
      </c>
      <c r="L25" s="59">
        <f>181+19</f>
        <v>200</v>
      </c>
      <c r="M25" s="58">
        <v>70</v>
      </c>
      <c r="N25" s="57">
        <v>174</v>
      </c>
      <c r="O25" s="56">
        <v>137</v>
      </c>
      <c r="P25" s="55">
        <v>2300</v>
      </c>
      <c r="Q25" s="54">
        <v>2951</v>
      </c>
      <c r="R25" s="45"/>
    </row>
    <row r="26" spans="2:18" ht="15" customHeight="1">
      <c r="B26" s="30" t="s">
        <v>10</v>
      </c>
      <c r="C26" s="61">
        <f>+D26+N26+O26+P26+Q26</f>
        <v>10074</v>
      </c>
      <c r="D26" s="56">
        <f>SUM(E26:M26)</f>
        <v>6196</v>
      </c>
      <c r="E26" s="52">
        <f>192+114</f>
        <v>306</v>
      </c>
      <c r="F26" s="47">
        <f>566+5</f>
        <v>571</v>
      </c>
      <c r="G26" s="47">
        <v>28</v>
      </c>
      <c r="H26" s="47">
        <v>2</v>
      </c>
      <c r="I26" s="47">
        <v>16</v>
      </c>
      <c r="J26" s="47">
        <v>1593</v>
      </c>
      <c r="K26" s="47">
        <v>3525</v>
      </c>
      <c r="L26" s="51">
        <v>104</v>
      </c>
      <c r="M26" s="50">
        <v>51</v>
      </c>
      <c r="N26" s="49">
        <v>83</v>
      </c>
      <c r="O26" s="48">
        <v>92</v>
      </c>
      <c r="P26" s="47">
        <v>2077</v>
      </c>
      <c r="Q26" s="46">
        <v>1626</v>
      </c>
      <c r="R26" s="45"/>
    </row>
    <row r="27" spans="2:18" ht="15" customHeight="1">
      <c r="B27" s="70" t="s">
        <v>17</v>
      </c>
      <c r="C27" s="69">
        <f aca="true" t="shared" si="4" ref="C27:Q27">SUM(C28:C31)</f>
        <v>69147</v>
      </c>
      <c r="D27" s="64">
        <f t="shared" si="4"/>
        <v>45234</v>
      </c>
      <c r="E27" s="68">
        <f t="shared" si="4"/>
        <v>2283</v>
      </c>
      <c r="F27" s="63">
        <f t="shared" si="4"/>
        <v>3814</v>
      </c>
      <c r="G27" s="63">
        <f t="shared" si="4"/>
        <v>123</v>
      </c>
      <c r="H27" s="63">
        <f t="shared" si="4"/>
        <v>45</v>
      </c>
      <c r="I27" s="63">
        <f t="shared" si="4"/>
        <v>100</v>
      </c>
      <c r="J27" s="63">
        <f t="shared" si="4"/>
        <v>12149</v>
      </c>
      <c r="K27" s="63">
        <f t="shared" si="4"/>
        <v>25289</v>
      </c>
      <c r="L27" s="67">
        <f t="shared" si="4"/>
        <v>1030</v>
      </c>
      <c r="M27" s="66">
        <f t="shared" si="4"/>
        <v>401</v>
      </c>
      <c r="N27" s="65">
        <f t="shared" si="4"/>
        <v>759</v>
      </c>
      <c r="O27" s="64">
        <f t="shared" si="4"/>
        <v>684</v>
      </c>
      <c r="P27" s="63">
        <f t="shared" si="4"/>
        <v>10059</v>
      </c>
      <c r="Q27" s="62">
        <f t="shared" si="4"/>
        <v>12411</v>
      </c>
      <c r="R27" s="45"/>
    </row>
    <row r="28" spans="2:18" ht="15" customHeight="1">
      <c r="B28" s="37" t="s">
        <v>13</v>
      </c>
      <c r="C28" s="61">
        <f>+D28+N28+O28+P28+Q28</f>
        <v>18134</v>
      </c>
      <c r="D28" s="56">
        <f>SUM(E28:M28)</f>
        <v>11726</v>
      </c>
      <c r="E28" s="60">
        <f>303+126</f>
        <v>429</v>
      </c>
      <c r="F28" s="55">
        <f>965+6</f>
        <v>971</v>
      </c>
      <c r="G28" s="55">
        <v>13</v>
      </c>
      <c r="H28" s="55">
        <v>8</v>
      </c>
      <c r="I28" s="55">
        <v>32</v>
      </c>
      <c r="J28" s="55">
        <v>3164</v>
      </c>
      <c r="K28" s="55">
        <v>6623</v>
      </c>
      <c r="L28" s="59">
        <v>340</v>
      </c>
      <c r="M28" s="58">
        <v>146</v>
      </c>
      <c r="N28" s="57">
        <v>220</v>
      </c>
      <c r="O28" s="56">
        <v>209</v>
      </c>
      <c r="P28" s="55">
        <v>2728</v>
      </c>
      <c r="Q28" s="54">
        <v>3251</v>
      </c>
      <c r="R28" s="45"/>
    </row>
    <row r="29" spans="2:18" ht="15" customHeight="1">
      <c r="B29" s="37" t="s">
        <v>12</v>
      </c>
      <c r="C29" s="61">
        <f>+D29+N29+O29+P29+Q29</f>
        <v>23768</v>
      </c>
      <c r="D29" s="56">
        <f>SUM(E29:M29)</f>
        <v>16111</v>
      </c>
      <c r="E29" s="60">
        <f>712+327</f>
        <v>1039</v>
      </c>
      <c r="F29" s="55">
        <f>1339+2</f>
        <v>1341</v>
      </c>
      <c r="G29" s="55">
        <f>22+49</f>
        <v>71</v>
      </c>
      <c r="H29" s="55">
        <v>29</v>
      </c>
      <c r="I29" s="55">
        <v>35</v>
      </c>
      <c r="J29" s="55">
        <v>4261</v>
      </c>
      <c r="K29" s="55">
        <f>8770+24</f>
        <v>8794</v>
      </c>
      <c r="L29" s="59">
        <f>347+57</f>
        <v>404</v>
      </c>
      <c r="M29" s="58">
        <v>137</v>
      </c>
      <c r="N29" s="57">
        <v>281</v>
      </c>
      <c r="O29" s="56">
        <v>243</v>
      </c>
      <c r="P29" s="55">
        <v>3023</v>
      </c>
      <c r="Q29" s="54">
        <v>4110</v>
      </c>
      <c r="R29" s="45"/>
    </row>
    <row r="30" spans="2:18" ht="15" customHeight="1">
      <c r="B30" s="37" t="s">
        <v>11</v>
      </c>
      <c r="C30" s="61">
        <f>+D30+N30+O30+P30+Q30</f>
        <v>16871</v>
      </c>
      <c r="D30" s="56">
        <f>SUM(E30:M30)</f>
        <v>11117</v>
      </c>
      <c r="E30" s="60">
        <f>358+133</f>
        <v>491</v>
      </c>
      <c r="F30" s="55">
        <f>948+11</f>
        <v>959</v>
      </c>
      <c r="G30" s="55">
        <v>12</v>
      </c>
      <c r="H30" s="55">
        <v>6</v>
      </c>
      <c r="I30" s="55">
        <v>16</v>
      </c>
      <c r="J30" s="55">
        <v>3032</v>
      </c>
      <c r="K30" s="55">
        <f>6335+14</f>
        <v>6349</v>
      </c>
      <c r="L30" s="59">
        <f>165+21</f>
        <v>186</v>
      </c>
      <c r="M30" s="58">
        <v>66</v>
      </c>
      <c r="N30" s="57">
        <v>168</v>
      </c>
      <c r="O30" s="56">
        <v>138</v>
      </c>
      <c r="P30" s="55">
        <v>2227</v>
      </c>
      <c r="Q30" s="54">
        <v>3221</v>
      </c>
      <c r="R30" s="45"/>
    </row>
    <row r="31" spans="2:18" ht="15" customHeight="1">
      <c r="B31" s="30" t="s">
        <v>10</v>
      </c>
      <c r="C31" s="61">
        <f>+D31+N31+O31+P31+Q31</f>
        <v>10374</v>
      </c>
      <c r="D31" s="56">
        <f>SUM(E31:M31)</f>
        <v>6280</v>
      </c>
      <c r="E31" s="52">
        <f>195+129</f>
        <v>324</v>
      </c>
      <c r="F31" s="47">
        <f>539+4</f>
        <v>543</v>
      </c>
      <c r="G31" s="47">
        <v>27</v>
      </c>
      <c r="H31" s="47">
        <v>2</v>
      </c>
      <c r="I31" s="47">
        <v>17</v>
      </c>
      <c r="J31" s="47">
        <v>1692</v>
      </c>
      <c r="K31" s="47">
        <v>3523</v>
      </c>
      <c r="L31" s="51">
        <v>100</v>
      </c>
      <c r="M31" s="50">
        <v>52</v>
      </c>
      <c r="N31" s="49">
        <v>90</v>
      </c>
      <c r="O31" s="48">
        <v>94</v>
      </c>
      <c r="P31" s="47">
        <v>2081</v>
      </c>
      <c r="Q31" s="46">
        <v>1829</v>
      </c>
      <c r="R31" s="45"/>
    </row>
    <row r="32" spans="2:18" ht="15" customHeight="1">
      <c r="B32" s="70" t="s">
        <v>16</v>
      </c>
      <c r="C32" s="69">
        <f aca="true" t="shared" si="5" ref="C32:Q32">SUM(C33:C36)</f>
        <v>70275</v>
      </c>
      <c r="D32" s="64">
        <f t="shared" si="5"/>
        <v>45610</v>
      </c>
      <c r="E32" s="68">
        <f t="shared" si="5"/>
        <v>2288</v>
      </c>
      <c r="F32" s="63">
        <f t="shared" si="5"/>
        <v>3672</v>
      </c>
      <c r="G32" s="63">
        <f t="shared" si="5"/>
        <v>117</v>
      </c>
      <c r="H32" s="63">
        <f t="shared" si="5"/>
        <v>48</v>
      </c>
      <c r="I32" s="63">
        <f t="shared" si="5"/>
        <v>91</v>
      </c>
      <c r="J32" s="63">
        <f t="shared" si="5"/>
        <v>12663</v>
      </c>
      <c r="K32" s="63">
        <f t="shared" si="5"/>
        <v>25284</v>
      </c>
      <c r="L32" s="67">
        <f t="shared" si="5"/>
        <v>1040</v>
      </c>
      <c r="M32" s="66">
        <f t="shared" si="5"/>
        <v>407</v>
      </c>
      <c r="N32" s="65">
        <f t="shared" si="5"/>
        <v>775</v>
      </c>
      <c r="O32" s="64">
        <f t="shared" si="5"/>
        <v>693</v>
      </c>
      <c r="P32" s="63">
        <f t="shared" si="5"/>
        <v>9858</v>
      </c>
      <c r="Q32" s="62">
        <f t="shared" si="5"/>
        <v>13339</v>
      </c>
      <c r="R32" s="45"/>
    </row>
    <row r="33" spans="2:18" ht="15" customHeight="1">
      <c r="B33" s="37" t="s">
        <v>13</v>
      </c>
      <c r="C33" s="61">
        <f>+D33+N33+O33+P33+Q33</f>
        <v>18294</v>
      </c>
      <c r="D33" s="56">
        <f>SUM(E33:M33)</f>
        <v>11750</v>
      </c>
      <c r="E33" s="60">
        <f>297+140</f>
        <v>437</v>
      </c>
      <c r="F33" s="55">
        <f>929+5</f>
        <v>934</v>
      </c>
      <c r="G33" s="55">
        <v>16</v>
      </c>
      <c r="H33" s="55">
        <v>8</v>
      </c>
      <c r="I33" s="55">
        <v>28</v>
      </c>
      <c r="J33" s="55">
        <v>3318</v>
      </c>
      <c r="K33" s="55">
        <f>6519+23</f>
        <v>6542</v>
      </c>
      <c r="L33" s="59">
        <f>213+111</f>
        <v>324</v>
      </c>
      <c r="M33" s="58">
        <v>143</v>
      </c>
      <c r="N33" s="57">
        <v>215</v>
      </c>
      <c r="O33" s="56">
        <v>211</v>
      </c>
      <c r="P33" s="55">
        <v>2685</v>
      </c>
      <c r="Q33" s="54">
        <v>3433</v>
      </c>
      <c r="R33" s="45"/>
    </row>
    <row r="34" spans="2:18" ht="15" customHeight="1">
      <c r="B34" s="37" t="s">
        <v>12</v>
      </c>
      <c r="C34" s="61">
        <f>+D34+N34+O34+P34+Q34</f>
        <v>24160</v>
      </c>
      <c r="D34" s="56">
        <f>SUM(E34:M34)</f>
        <v>16189</v>
      </c>
      <c r="E34" s="60">
        <f>678+360</f>
        <v>1038</v>
      </c>
      <c r="F34" s="55">
        <f>1276+8</f>
        <v>1284</v>
      </c>
      <c r="G34" s="55">
        <f>20+42</f>
        <v>62</v>
      </c>
      <c r="H34" s="55">
        <v>30</v>
      </c>
      <c r="I34" s="55">
        <v>33</v>
      </c>
      <c r="J34" s="55">
        <v>4414</v>
      </c>
      <c r="K34" s="55">
        <f>8740+26</f>
        <v>8766</v>
      </c>
      <c r="L34" s="59">
        <f>359+63</f>
        <v>422</v>
      </c>
      <c r="M34" s="58">
        <v>140</v>
      </c>
      <c r="N34" s="57">
        <v>286</v>
      </c>
      <c r="O34" s="56">
        <v>244</v>
      </c>
      <c r="P34" s="55">
        <v>2975</v>
      </c>
      <c r="Q34" s="54">
        <v>4466</v>
      </c>
      <c r="R34" s="45"/>
    </row>
    <row r="35" spans="2:18" ht="15" customHeight="1">
      <c r="B35" s="37" t="s">
        <v>11</v>
      </c>
      <c r="C35" s="61">
        <f>+D35+N35+O35+P35+Q35</f>
        <v>17315</v>
      </c>
      <c r="D35" s="56">
        <f>SUM(E35:M35)</f>
        <v>11296</v>
      </c>
      <c r="E35" s="60">
        <f>357+143</f>
        <v>500</v>
      </c>
      <c r="F35" s="55">
        <v>922</v>
      </c>
      <c r="G35" s="55">
        <v>14</v>
      </c>
      <c r="H35" s="55">
        <v>6</v>
      </c>
      <c r="I35" s="55">
        <v>15</v>
      </c>
      <c r="J35" s="55">
        <v>3178</v>
      </c>
      <c r="K35" s="55">
        <f>6382+14</f>
        <v>6396</v>
      </c>
      <c r="L35" s="59">
        <f>171+23</f>
        <v>194</v>
      </c>
      <c r="M35" s="58">
        <v>71</v>
      </c>
      <c r="N35" s="57">
        <v>172</v>
      </c>
      <c r="O35" s="56">
        <v>146</v>
      </c>
      <c r="P35" s="55">
        <v>2168</v>
      </c>
      <c r="Q35" s="54">
        <v>3533</v>
      </c>
      <c r="R35" s="45"/>
    </row>
    <row r="36" spans="2:18" ht="15" customHeight="1">
      <c r="B36" s="30" t="s">
        <v>10</v>
      </c>
      <c r="C36" s="61">
        <f>+D36+N36+O36+P36+Q36</f>
        <v>10506</v>
      </c>
      <c r="D36" s="56">
        <f>SUM(E36:M36)</f>
        <v>6375</v>
      </c>
      <c r="E36" s="52">
        <f>193+120</f>
        <v>313</v>
      </c>
      <c r="F36" s="47">
        <f>526+6</f>
        <v>532</v>
      </c>
      <c r="G36" s="47">
        <v>25</v>
      </c>
      <c r="H36" s="47">
        <v>4</v>
      </c>
      <c r="I36" s="47">
        <v>15</v>
      </c>
      <c r="J36" s="47">
        <v>1753</v>
      </c>
      <c r="K36" s="47">
        <v>3580</v>
      </c>
      <c r="L36" s="51">
        <v>100</v>
      </c>
      <c r="M36" s="50">
        <v>53</v>
      </c>
      <c r="N36" s="49">
        <v>102</v>
      </c>
      <c r="O36" s="48">
        <v>92</v>
      </c>
      <c r="P36" s="47">
        <v>2030</v>
      </c>
      <c r="Q36" s="46">
        <v>1907</v>
      </c>
      <c r="R36" s="45"/>
    </row>
    <row r="37" spans="2:18" ht="15" customHeight="1">
      <c r="B37" s="70" t="s">
        <v>15</v>
      </c>
      <c r="C37" s="69">
        <v>71352</v>
      </c>
      <c r="D37" s="64">
        <v>45869</v>
      </c>
      <c r="E37" s="68">
        <f>1524+761</f>
        <v>2285</v>
      </c>
      <c r="F37" s="63">
        <f>3578+37</f>
        <v>3615</v>
      </c>
      <c r="G37" s="63">
        <f>24+94</f>
        <v>118</v>
      </c>
      <c r="H37" s="63">
        <f>18+32</f>
        <v>50</v>
      </c>
      <c r="I37" s="63">
        <v>92</v>
      </c>
      <c r="J37" s="63">
        <v>13144</v>
      </c>
      <c r="K37" s="63">
        <v>25098</v>
      </c>
      <c r="L37" s="67">
        <f>842+207</f>
        <v>1049</v>
      </c>
      <c r="M37" s="66">
        <v>418</v>
      </c>
      <c r="N37" s="65">
        <v>767</v>
      </c>
      <c r="O37" s="64">
        <v>691</v>
      </c>
      <c r="P37" s="63">
        <v>9802</v>
      </c>
      <c r="Q37" s="62">
        <v>14223</v>
      </c>
      <c r="R37" s="45"/>
    </row>
    <row r="38" spans="2:18" ht="15" customHeight="1">
      <c r="B38" s="37" t="s">
        <v>13</v>
      </c>
      <c r="C38" s="61">
        <v>18512</v>
      </c>
      <c r="D38" s="56">
        <f>11474+326</f>
        <v>11800</v>
      </c>
      <c r="E38" s="60">
        <f>301+151</f>
        <v>452</v>
      </c>
      <c r="F38" s="55">
        <f>901+8</f>
        <v>909</v>
      </c>
      <c r="G38" s="55">
        <f>2+14</f>
        <v>16</v>
      </c>
      <c r="H38" s="55">
        <f>6+2</f>
        <v>8</v>
      </c>
      <c r="I38" s="55">
        <v>25</v>
      </c>
      <c r="J38" s="55">
        <v>3420</v>
      </c>
      <c r="K38" s="55">
        <v>6497</v>
      </c>
      <c r="L38" s="59">
        <f>211+120</f>
        <v>331</v>
      </c>
      <c r="M38" s="58">
        <v>142</v>
      </c>
      <c r="N38" s="57">
        <v>215</v>
      </c>
      <c r="O38" s="56">
        <v>208</v>
      </c>
      <c r="P38" s="55">
        <v>2652</v>
      </c>
      <c r="Q38" s="54">
        <v>3637</v>
      </c>
      <c r="R38" s="45"/>
    </row>
    <row r="39" spans="2:18" ht="15" customHeight="1">
      <c r="B39" s="37" t="s">
        <v>12</v>
      </c>
      <c r="C39" s="61">
        <v>24615</v>
      </c>
      <c r="D39" s="56">
        <f>15767+534</f>
        <v>16301</v>
      </c>
      <c r="E39" s="60">
        <f>671+360</f>
        <v>1031</v>
      </c>
      <c r="F39" s="55">
        <f>1269+8</f>
        <v>1277</v>
      </c>
      <c r="G39" s="55">
        <f>22+41</f>
        <v>63</v>
      </c>
      <c r="H39" s="55">
        <f>4+26</f>
        <v>30</v>
      </c>
      <c r="I39" s="55">
        <v>38</v>
      </c>
      <c r="J39" s="55">
        <v>4626</v>
      </c>
      <c r="K39" s="55">
        <v>8692</v>
      </c>
      <c r="L39" s="59">
        <f>343+62</f>
        <v>405</v>
      </c>
      <c r="M39" s="58">
        <v>139</v>
      </c>
      <c r="N39" s="57">
        <v>265</v>
      </c>
      <c r="O39" s="56">
        <v>244</v>
      </c>
      <c r="P39" s="55">
        <v>2984</v>
      </c>
      <c r="Q39" s="54">
        <v>4821</v>
      </c>
      <c r="R39" s="45"/>
    </row>
    <row r="40" spans="2:18" ht="15" customHeight="1">
      <c r="B40" s="37" t="s">
        <v>11</v>
      </c>
      <c r="C40" s="61">
        <v>17545</v>
      </c>
      <c r="D40" s="56">
        <f>11129+217</f>
        <v>11346</v>
      </c>
      <c r="E40" s="60">
        <f>353+142</f>
        <v>495</v>
      </c>
      <c r="F40" s="55">
        <f>886+18</f>
        <v>904</v>
      </c>
      <c r="G40" s="55">
        <v>16</v>
      </c>
      <c r="H40" s="55">
        <v>6</v>
      </c>
      <c r="I40" s="55">
        <v>14</v>
      </c>
      <c r="J40" s="55">
        <v>3268</v>
      </c>
      <c r="K40" s="55">
        <v>6368</v>
      </c>
      <c r="L40" s="59">
        <f>180+24</f>
        <v>204</v>
      </c>
      <c r="M40" s="58">
        <v>71</v>
      </c>
      <c r="N40" s="57">
        <v>174</v>
      </c>
      <c r="O40" s="56">
        <v>145</v>
      </c>
      <c r="P40" s="55">
        <v>2144</v>
      </c>
      <c r="Q40" s="54">
        <v>3736</v>
      </c>
      <c r="R40" s="45"/>
    </row>
    <row r="41" spans="2:18" ht="15" customHeight="1">
      <c r="B41" s="30" t="s">
        <v>10</v>
      </c>
      <c r="C41" s="53">
        <v>10648</v>
      </c>
      <c r="D41" s="48">
        <f>6245+145</f>
        <v>6390</v>
      </c>
      <c r="E41" s="52">
        <f>197+108</f>
        <v>305</v>
      </c>
      <c r="F41" s="47">
        <f>519+3</f>
        <v>522</v>
      </c>
      <c r="G41" s="47">
        <v>23</v>
      </c>
      <c r="H41" s="47">
        <v>6</v>
      </c>
      <c r="I41" s="47">
        <v>15</v>
      </c>
      <c r="J41" s="47">
        <v>1824</v>
      </c>
      <c r="K41" s="47">
        <v>3537</v>
      </c>
      <c r="L41" s="51">
        <f>105+1</f>
        <v>106</v>
      </c>
      <c r="M41" s="50">
        <v>52</v>
      </c>
      <c r="N41" s="49">
        <v>113</v>
      </c>
      <c r="O41" s="48">
        <v>94</v>
      </c>
      <c r="P41" s="47">
        <v>2022</v>
      </c>
      <c r="Q41" s="46">
        <v>2029</v>
      </c>
      <c r="R41" s="45"/>
    </row>
    <row r="42" spans="2:41" s="15" customFormat="1" ht="15" customHeight="1">
      <c r="B42" s="44" t="s">
        <v>14</v>
      </c>
      <c r="C42" s="43">
        <v>72571</v>
      </c>
      <c r="D42" s="40">
        <v>46202</v>
      </c>
      <c r="E42" s="42">
        <v>2288</v>
      </c>
      <c r="F42" s="39">
        <v>3563</v>
      </c>
      <c r="G42" s="39">
        <v>113</v>
      </c>
      <c r="H42" s="39">
        <v>49</v>
      </c>
      <c r="I42" s="39">
        <v>93</v>
      </c>
      <c r="J42" s="39">
        <v>13591</v>
      </c>
      <c r="K42" s="39">
        <v>25044</v>
      </c>
      <c r="L42" s="39">
        <v>1034</v>
      </c>
      <c r="M42" s="20">
        <v>427</v>
      </c>
      <c r="N42" s="41">
        <v>775</v>
      </c>
      <c r="O42" s="40">
        <v>682</v>
      </c>
      <c r="P42" s="39">
        <v>9731</v>
      </c>
      <c r="Q42" s="38">
        <v>15181</v>
      </c>
      <c r="R42" s="20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2:41" ht="15" customHeight="1">
      <c r="B43" s="37" t="s">
        <v>13</v>
      </c>
      <c r="C43" s="36">
        <v>18657</v>
      </c>
      <c r="D43" s="33">
        <v>11798</v>
      </c>
      <c r="E43" s="35">
        <v>449</v>
      </c>
      <c r="F43" s="32">
        <v>897</v>
      </c>
      <c r="G43" s="32">
        <v>16</v>
      </c>
      <c r="H43" s="32">
        <v>9</v>
      </c>
      <c r="I43" s="32">
        <v>23</v>
      </c>
      <c r="J43" s="32">
        <v>3496</v>
      </c>
      <c r="K43" s="32">
        <v>6445</v>
      </c>
      <c r="L43" s="32">
        <v>319</v>
      </c>
      <c r="M43" s="22">
        <v>144</v>
      </c>
      <c r="N43" s="34">
        <v>224</v>
      </c>
      <c r="O43" s="33">
        <v>193</v>
      </c>
      <c r="P43" s="32">
        <v>2637</v>
      </c>
      <c r="Q43" s="31">
        <v>3805</v>
      </c>
      <c r="R43" s="22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2:41" ht="15" customHeight="1">
      <c r="B44" s="37" t="s">
        <v>12</v>
      </c>
      <c r="C44" s="36">
        <v>25090</v>
      </c>
      <c r="D44" s="33">
        <v>16414</v>
      </c>
      <c r="E44" s="35">
        <v>1011</v>
      </c>
      <c r="F44" s="32">
        <v>1256</v>
      </c>
      <c r="G44" s="32">
        <v>55</v>
      </c>
      <c r="H44" s="32">
        <v>28</v>
      </c>
      <c r="I44" s="32">
        <v>43</v>
      </c>
      <c r="J44" s="32">
        <v>4792</v>
      </c>
      <c r="K44" s="32">
        <v>8691</v>
      </c>
      <c r="L44" s="32">
        <v>390</v>
      </c>
      <c r="M44" s="22">
        <v>148</v>
      </c>
      <c r="N44" s="34">
        <v>259</v>
      </c>
      <c r="O44" s="33">
        <v>251</v>
      </c>
      <c r="P44" s="32">
        <v>2952</v>
      </c>
      <c r="Q44" s="31">
        <v>5214</v>
      </c>
      <c r="R44" s="22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2:41" ht="15" customHeight="1">
      <c r="B45" s="37" t="s">
        <v>11</v>
      </c>
      <c r="C45" s="36">
        <v>17912</v>
      </c>
      <c r="D45" s="33">
        <v>11471</v>
      </c>
      <c r="E45" s="35">
        <v>511</v>
      </c>
      <c r="F45" s="32">
        <v>897</v>
      </c>
      <c r="G45" s="32">
        <v>17</v>
      </c>
      <c r="H45" s="32">
        <v>5</v>
      </c>
      <c r="I45" s="32">
        <v>13</v>
      </c>
      <c r="J45" s="32">
        <v>3395</v>
      </c>
      <c r="K45" s="32">
        <v>6349</v>
      </c>
      <c r="L45" s="32">
        <v>214</v>
      </c>
      <c r="M45" s="22">
        <v>70</v>
      </c>
      <c r="N45" s="34">
        <v>179</v>
      </c>
      <c r="O45" s="33">
        <v>146</v>
      </c>
      <c r="P45" s="32">
        <v>2130</v>
      </c>
      <c r="Q45" s="31">
        <v>3986</v>
      </c>
      <c r="R45" s="22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2:41" ht="15" customHeight="1">
      <c r="B46" s="30" t="s">
        <v>10</v>
      </c>
      <c r="C46" s="29">
        <v>10881</v>
      </c>
      <c r="D46" s="25">
        <v>6488</v>
      </c>
      <c r="E46" s="28">
        <v>315</v>
      </c>
      <c r="F46" s="24">
        <v>509</v>
      </c>
      <c r="G46" s="24">
        <v>25</v>
      </c>
      <c r="H46" s="24">
        <v>7</v>
      </c>
      <c r="I46" s="24">
        <v>14</v>
      </c>
      <c r="J46" s="24">
        <v>1903</v>
      </c>
      <c r="K46" s="24">
        <v>3556</v>
      </c>
      <c r="L46" s="24">
        <v>108</v>
      </c>
      <c r="M46" s="27">
        <v>51</v>
      </c>
      <c r="N46" s="26">
        <v>113</v>
      </c>
      <c r="O46" s="25">
        <v>92</v>
      </c>
      <c r="P46" s="24">
        <v>2012</v>
      </c>
      <c r="Q46" s="23">
        <v>2176</v>
      </c>
      <c r="R46" s="2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2:41" s="15" customFormat="1" ht="15" customHeight="1">
      <c r="B47" s="19" t="s">
        <v>9</v>
      </c>
      <c r="C47" s="13">
        <v>73465</v>
      </c>
      <c r="D47" s="10">
        <v>44903</v>
      </c>
      <c r="E47" s="12">
        <v>2323</v>
      </c>
      <c r="F47" s="9">
        <v>3459</v>
      </c>
      <c r="G47" s="9">
        <v>124</v>
      </c>
      <c r="H47" s="9">
        <v>44</v>
      </c>
      <c r="I47" s="9">
        <v>94</v>
      </c>
      <c r="J47" s="9">
        <v>13785</v>
      </c>
      <c r="K47" s="9">
        <v>24916</v>
      </c>
      <c r="L47" s="9">
        <v>1014</v>
      </c>
      <c r="M47" s="7">
        <v>409</v>
      </c>
      <c r="N47" s="11">
        <v>766</v>
      </c>
      <c r="O47" s="10">
        <v>696</v>
      </c>
      <c r="P47" s="9">
        <v>9731</v>
      </c>
      <c r="Q47" s="8">
        <v>16104</v>
      </c>
      <c r="R47" s="20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2:41" s="15" customFormat="1" ht="15" customHeight="1">
      <c r="B48" s="19" t="s">
        <v>8</v>
      </c>
      <c r="C48" s="13">
        <v>74232</v>
      </c>
      <c r="D48" s="10">
        <f>45823</f>
        <v>45823</v>
      </c>
      <c r="E48" s="12">
        <v>2375</v>
      </c>
      <c r="F48" s="9">
        <v>3368</v>
      </c>
      <c r="G48" s="9">
        <v>130</v>
      </c>
      <c r="H48" s="9">
        <v>47</v>
      </c>
      <c r="I48" s="9">
        <v>90</v>
      </c>
      <c r="J48" s="9">
        <v>13954</v>
      </c>
      <c r="K48" s="9">
        <v>24440</v>
      </c>
      <c r="L48" s="9">
        <v>1010</v>
      </c>
      <c r="M48" s="7">
        <v>409</v>
      </c>
      <c r="N48" s="11">
        <v>777</v>
      </c>
      <c r="O48" s="10">
        <v>725</v>
      </c>
      <c r="P48" s="9">
        <v>9589</v>
      </c>
      <c r="Q48" s="8">
        <v>17220</v>
      </c>
      <c r="R48" s="18">
        <v>98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2:41" s="15" customFormat="1" ht="15" customHeight="1">
      <c r="B49" s="19" t="s">
        <v>7</v>
      </c>
      <c r="C49" s="13">
        <v>74077</v>
      </c>
      <c r="D49" s="10">
        <v>45087</v>
      </c>
      <c r="E49" s="12">
        <v>2368</v>
      </c>
      <c r="F49" s="9">
        <v>3207</v>
      </c>
      <c r="G49" s="9">
        <v>132</v>
      </c>
      <c r="H49" s="9">
        <v>46</v>
      </c>
      <c r="I49" s="9">
        <v>83</v>
      </c>
      <c r="J49" s="9">
        <v>14034</v>
      </c>
      <c r="K49" s="9">
        <v>23778</v>
      </c>
      <c r="L49" s="9">
        <v>1017</v>
      </c>
      <c r="M49" s="7">
        <v>422</v>
      </c>
      <c r="N49" s="11">
        <v>794</v>
      </c>
      <c r="O49" s="10">
        <v>739</v>
      </c>
      <c r="P49" s="9">
        <v>9442</v>
      </c>
      <c r="Q49" s="8">
        <v>17913</v>
      </c>
      <c r="R49" s="18">
        <v>102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2:41" s="15" customFormat="1" ht="15" customHeight="1">
      <c r="B50" s="19" t="s">
        <v>6</v>
      </c>
      <c r="C50" s="13">
        <v>73960</v>
      </c>
      <c r="D50" s="10">
        <v>44229</v>
      </c>
      <c r="E50" s="12">
        <v>2259</v>
      </c>
      <c r="F50" s="9">
        <v>3016</v>
      </c>
      <c r="G50" s="9">
        <v>134</v>
      </c>
      <c r="H50" s="9">
        <v>54</v>
      </c>
      <c r="I50" s="9">
        <v>89</v>
      </c>
      <c r="J50" s="9">
        <v>13949</v>
      </c>
      <c r="K50" s="9">
        <v>23298</v>
      </c>
      <c r="L50" s="9">
        <v>1006</v>
      </c>
      <c r="M50" s="7">
        <v>424</v>
      </c>
      <c r="N50" s="11">
        <v>824</v>
      </c>
      <c r="O50" s="10">
        <v>763</v>
      </c>
      <c r="P50" s="9">
        <v>9357</v>
      </c>
      <c r="Q50" s="8">
        <v>18672</v>
      </c>
      <c r="R50" s="18">
        <v>115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2:41" s="15" customFormat="1" ht="15" customHeight="1">
      <c r="B51" s="19" t="s">
        <v>5</v>
      </c>
      <c r="C51" s="13">
        <v>74018</v>
      </c>
      <c r="D51" s="10">
        <v>43669</v>
      </c>
      <c r="E51" s="12">
        <v>2185</v>
      </c>
      <c r="F51" s="9">
        <v>2927</v>
      </c>
      <c r="G51" s="9">
        <v>127</v>
      </c>
      <c r="H51" s="9">
        <v>56</v>
      </c>
      <c r="I51" s="9">
        <v>83</v>
      </c>
      <c r="J51" s="9">
        <v>14083</v>
      </c>
      <c r="K51" s="9">
        <v>22818</v>
      </c>
      <c r="L51" s="9">
        <v>971</v>
      </c>
      <c r="M51" s="7">
        <v>419</v>
      </c>
      <c r="N51" s="11">
        <v>839</v>
      </c>
      <c r="O51" s="10">
        <v>774</v>
      </c>
      <c r="P51" s="9">
        <v>9176</v>
      </c>
      <c r="Q51" s="8">
        <v>19446</v>
      </c>
      <c r="R51" s="18">
        <v>114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2:41" s="15" customFormat="1" ht="15" customHeight="1">
      <c r="B52" s="19" t="s">
        <v>4</v>
      </c>
      <c r="C52" s="13">
        <v>74129</v>
      </c>
      <c r="D52" s="10">
        <v>43261</v>
      </c>
      <c r="E52" s="12">
        <v>2110</v>
      </c>
      <c r="F52" s="9">
        <v>2802</v>
      </c>
      <c r="G52" s="9">
        <v>117</v>
      </c>
      <c r="H52" s="9">
        <v>55</v>
      </c>
      <c r="I52" s="9">
        <v>79</v>
      </c>
      <c r="J52" s="9">
        <v>14381</v>
      </c>
      <c r="K52" s="9">
        <v>22357</v>
      </c>
      <c r="L52" s="9">
        <v>938</v>
      </c>
      <c r="M52" s="7">
        <v>422</v>
      </c>
      <c r="N52" s="11">
        <v>833</v>
      </c>
      <c r="O52" s="10">
        <v>793</v>
      </c>
      <c r="P52" s="9">
        <v>9031</v>
      </c>
      <c r="Q52" s="8">
        <v>20092</v>
      </c>
      <c r="R52" s="18">
        <v>119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2:41" s="4" customFormat="1" ht="15" customHeight="1">
      <c r="B53" s="14" t="s">
        <v>3</v>
      </c>
      <c r="C53" s="13">
        <v>74681</v>
      </c>
      <c r="D53" s="10">
        <v>43143</v>
      </c>
      <c r="E53" s="12">
        <v>2082</v>
      </c>
      <c r="F53" s="9">
        <v>2733</v>
      </c>
      <c r="G53" s="9">
        <v>114</v>
      </c>
      <c r="H53" s="9">
        <v>55</v>
      </c>
      <c r="I53" s="9">
        <v>81</v>
      </c>
      <c r="J53" s="9">
        <v>14648</v>
      </c>
      <c r="K53" s="9">
        <v>22079</v>
      </c>
      <c r="L53" s="9">
        <v>920</v>
      </c>
      <c r="M53" s="7">
        <v>431</v>
      </c>
      <c r="N53" s="11">
        <v>853</v>
      </c>
      <c r="O53" s="10">
        <v>811</v>
      </c>
      <c r="P53" s="9">
        <v>8965</v>
      </c>
      <c r="Q53" s="8">
        <v>20799</v>
      </c>
      <c r="R53" s="7">
        <v>110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2:41" s="4" customFormat="1" ht="15" customHeight="1">
      <c r="B54" s="14" t="s">
        <v>2</v>
      </c>
      <c r="C54" s="13">
        <v>75349</v>
      </c>
      <c r="D54" s="10">
        <v>43011</v>
      </c>
      <c r="E54" s="12">
        <v>2063</v>
      </c>
      <c r="F54" s="9">
        <v>2668</v>
      </c>
      <c r="G54" s="9">
        <v>115</v>
      </c>
      <c r="H54" s="9">
        <v>56</v>
      </c>
      <c r="I54" s="9">
        <v>79</v>
      </c>
      <c r="J54" s="9">
        <v>14906</v>
      </c>
      <c r="K54" s="9">
        <v>21799</v>
      </c>
      <c r="L54" s="9">
        <v>896</v>
      </c>
      <c r="M54" s="7">
        <v>429</v>
      </c>
      <c r="N54" s="11">
        <v>862</v>
      </c>
      <c r="O54" s="10">
        <v>815</v>
      </c>
      <c r="P54" s="9">
        <v>9161</v>
      </c>
      <c r="Q54" s="8">
        <v>21393</v>
      </c>
      <c r="R54" s="7">
        <v>107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3:41" ht="14.2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2" t="s">
        <v>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3:41" ht="14.25" customHeight="1">
      <c r="C56" s="2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2" t="s">
        <v>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3:17" ht="11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1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1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1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1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1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11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11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1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1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1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1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1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11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11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7" ht="11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1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1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3:17" ht="11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3:17" ht="11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3:17" ht="11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3:17" ht="11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3:17" ht="11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3:17" ht="11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3:17" ht="11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3:17" ht="11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3:17" ht="11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7" ht="11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</sheetData>
  <sheetProtection/>
  <mergeCells count="23">
    <mergeCell ref="P4:P6"/>
    <mergeCell ref="Q4:Q6"/>
    <mergeCell ref="N3:N6"/>
    <mergeCell ref="O3:R3"/>
    <mergeCell ref="R4:R6"/>
    <mergeCell ref="E5:E6"/>
    <mergeCell ref="F5:F6"/>
    <mergeCell ref="K5:K6"/>
    <mergeCell ref="L5:L6"/>
    <mergeCell ref="M5:M6"/>
    <mergeCell ref="H4:I4"/>
    <mergeCell ref="J4:K4"/>
    <mergeCell ref="L4:M4"/>
    <mergeCell ref="O4:O6"/>
    <mergeCell ref="B3:B6"/>
    <mergeCell ref="C3:C6"/>
    <mergeCell ref="D3:M3"/>
    <mergeCell ref="G5:G6"/>
    <mergeCell ref="H5:H6"/>
    <mergeCell ref="I5:I6"/>
    <mergeCell ref="J5:J6"/>
    <mergeCell ref="D4:D6"/>
    <mergeCell ref="E4:G4"/>
  </mergeCells>
  <printOptions/>
  <pageMargins left="0.5905511811023623" right="0.1968503937007874" top="0.7874015748031497" bottom="0.4" header="0.3937007874015748" footer="0.3937007874015748"/>
  <pageSetup horizontalDpi="600" verticalDpi="600" orientation="portrait" paperSize="9" r:id="rId1"/>
  <headerFooter alignWithMargins="0">
    <oddHeader>&amp;R15.交通・通信</oddHeader>
    <oddFooter>&amp;C-105-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2014-04-04T09:59:41Z</cp:lastPrinted>
  <dcterms:created xsi:type="dcterms:W3CDTF">2014-04-04T06:32:23Z</dcterms:created>
  <dcterms:modified xsi:type="dcterms:W3CDTF">2014-04-04T09:59:42Z</dcterms:modified>
  <cp:category/>
  <cp:version/>
  <cp:contentType/>
  <cp:contentStatus/>
</cp:coreProperties>
</file>