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O-1" sheetId="15" r:id="rId1"/>
    <sheet name="O-2" sheetId="14" r:id="rId2"/>
    <sheet name="O-3" sheetId="13" r:id="rId3"/>
    <sheet name="O-4" sheetId="12" r:id="rId4"/>
    <sheet name="O-5" sheetId="11" r:id="rId5"/>
    <sheet name="0-6 " sheetId="10" r:id="rId6"/>
    <sheet name="O-7" sheetId="9" r:id="rId7"/>
    <sheet name="O-8" sheetId="8" r:id="rId8"/>
    <sheet name="O-9" sheetId="7" r:id="rId9"/>
    <sheet name="O-10" sheetId="6" r:id="rId10"/>
    <sheet name="O-11" sheetId="5" r:id="rId11"/>
    <sheet name="O-12" sheetId="16" r:id="rId12"/>
    <sheet name="Sheet1" sheetId="1" r:id="rId13"/>
  </sheets>
  <definedNames>
    <definedName name="_xlnm.Print_Area" localSheetId="4">'O-5'!$A$1:$L$47</definedName>
    <definedName name="_xlnm.Print_Area" localSheetId="8">'O-9'!$A$1:$O$86</definedName>
    <definedName name="_xlnm.Print_Titles" localSheetId="9">'O-10'!$3:$5</definedName>
  </definedNames>
  <calcPr calcId="145621"/>
</workbook>
</file>

<file path=xl/calcChain.xml><?xml version="1.0" encoding="utf-8"?>
<calcChain xmlns="http://schemas.openxmlformats.org/spreadsheetml/2006/main">
  <c r="G79" i="16" l="1"/>
  <c r="G78" i="16"/>
  <c r="G77" i="16"/>
  <c r="G76" i="16"/>
  <c r="F75" i="16"/>
  <c r="E75" i="16"/>
  <c r="D75" i="16"/>
  <c r="G75" i="16" s="1"/>
  <c r="C75" i="16"/>
  <c r="G74" i="16"/>
  <c r="G73" i="16"/>
  <c r="G72" i="16"/>
  <c r="G71" i="16"/>
  <c r="F70" i="16"/>
  <c r="E70" i="16"/>
  <c r="D70" i="16"/>
  <c r="G70" i="16" s="1"/>
  <c r="G69" i="16"/>
  <c r="G68" i="16"/>
  <c r="G67" i="16"/>
  <c r="G66" i="16"/>
  <c r="F65" i="16"/>
  <c r="E65" i="16"/>
  <c r="D65" i="16"/>
  <c r="G65" i="16" s="1"/>
  <c r="C65" i="16"/>
  <c r="G64" i="16"/>
  <c r="G63" i="16"/>
  <c r="G62" i="16"/>
  <c r="G61" i="16"/>
  <c r="F60" i="16"/>
  <c r="E60" i="16"/>
  <c r="D60" i="16"/>
  <c r="G60" i="16" s="1"/>
  <c r="C60" i="16"/>
  <c r="G59" i="16"/>
  <c r="G58" i="16"/>
  <c r="G57" i="16"/>
  <c r="G56" i="16"/>
  <c r="F55" i="16"/>
  <c r="E55" i="16"/>
  <c r="D55" i="16"/>
  <c r="G55" i="16" s="1"/>
  <c r="C55" i="16"/>
  <c r="G54" i="16"/>
  <c r="G53" i="16"/>
  <c r="G52" i="16"/>
  <c r="G51" i="16"/>
  <c r="F50" i="16"/>
  <c r="E50" i="16"/>
  <c r="D50" i="16"/>
  <c r="C50" i="16"/>
  <c r="G50" i="16" s="1"/>
  <c r="G49" i="16"/>
  <c r="G48" i="16"/>
  <c r="G47" i="16"/>
  <c r="G46" i="16"/>
  <c r="F45" i="16"/>
  <c r="E45" i="16"/>
  <c r="D45" i="16"/>
  <c r="G45" i="16" s="1"/>
  <c r="C45" i="16"/>
  <c r="G44" i="16"/>
  <c r="G43" i="16"/>
  <c r="G42" i="16"/>
  <c r="G41" i="16"/>
  <c r="F40" i="16"/>
  <c r="E40" i="16"/>
  <c r="D40" i="16"/>
  <c r="G40" i="16" s="1"/>
  <c r="C40" i="16"/>
  <c r="G39" i="16"/>
  <c r="G38" i="16"/>
  <c r="G37" i="16"/>
  <c r="G36" i="16"/>
  <c r="F35" i="16"/>
  <c r="E35" i="16"/>
  <c r="D35" i="16"/>
  <c r="G35" i="16" s="1"/>
  <c r="C35" i="16"/>
  <c r="G34" i="16"/>
  <c r="G33" i="16"/>
  <c r="G32" i="16"/>
  <c r="G31" i="16"/>
  <c r="F30" i="16"/>
  <c r="E30" i="16"/>
  <c r="D30" i="16"/>
  <c r="G30" i="16" s="1"/>
  <c r="C30" i="16"/>
  <c r="G29" i="16"/>
  <c r="G28" i="16"/>
  <c r="G27" i="16"/>
  <c r="G26" i="16"/>
  <c r="F25" i="16"/>
  <c r="E25" i="16"/>
  <c r="D25" i="16"/>
  <c r="G25" i="16" s="1"/>
  <c r="C25" i="16"/>
  <c r="G24" i="16"/>
  <c r="G23" i="16"/>
  <c r="G22" i="16"/>
  <c r="G21" i="16"/>
  <c r="F20" i="16"/>
  <c r="E20" i="16"/>
  <c r="D20" i="16"/>
  <c r="G20" i="16" s="1"/>
  <c r="C20" i="16"/>
  <c r="G19" i="16"/>
  <c r="G18" i="16"/>
  <c r="G17" i="16"/>
  <c r="G16" i="16"/>
  <c r="F15" i="16"/>
  <c r="E15" i="16"/>
  <c r="D15" i="16"/>
  <c r="G15" i="16" s="1"/>
  <c r="C15" i="16"/>
  <c r="G13" i="16"/>
  <c r="G12" i="16"/>
  <c r="D10" i="16"/>
  <c r="G10" i="16" s="1"/>
  <c r="C10" i="16"/>
  <c r="G8" i="16"/>
  <c r="G7" i="16"/>
  <c r="D5" i="16"/>
  <c r="G5" i="16" s="1"/>
  <c r="C5" i="16"/>
  <c r="H40" i="15" l="1"/>
  <c r="G40" i="15"/>
  <c r="F40" i="15"/>
  <c r="E40" i="15"/>
  <c r="D40" i="15"/>
  <c r="C40" i="15"/>
  <c r="H35" i="15"/>
  <c r="G35" i="15"/>
  <c r="F35" i="15"/>
  <c r="E35" i="15"/>
  <c r="D35" i="15"/>
  <c r="C35" i="15"/>
  <c r="H30" i="15"/>
  <c r="G30" i="15"/>
  <c r="F30" i="15"/>
  <c r="E30" i="15"/>
  <c r="D30" i="15"/>
  <c r="C30" i="15"/>
  <c r="H25" i="15"/>
  <c r="G25" i="15"/>
  <c r="F25" i="15"/>
  <c r="E25" i="15"/>
  <c r="D25" i="15"/>
  <c r="C25" i="15"/>
  <c r="H20" i="15"/>
  <c r="G20" i="15"/>
  <c r="F20" i="15"/>
  <c r="E20" i="15"/>
  <c r="D20" i="15"/>
  <c r="C20" i="15"/>
  <c r="H15" i="15"/>
  <c r="G15" i="15"/>
  <c r="F15" i="15"/>
  <c r="E15" i="15"/>
  <c r="D15" i="15"/>
  <c r="C15" i="15"/>
  <c r="H10" i="15"/>
  <c r="G10" i="15"/>
  <c r="F10" i="15"/>
  <c r="E10" i="15"/>
  <c r="D10" i="15"/>
  <c r="C10" i="15"/>
  <c r="H5" i="15"/>
  <c r="G5" i="15"/>
  <c r="F5" i="15"/>
  <c r="E5" i="15"/>
  <c r="D5" i="15"/>
  <c r="C5" i="15"/>
  <c r="I23" i="14"/>
  <c r="K23" i="14" s="1"/>
  <c r="K22" i="14"/>
  <c r="I22" i="14"/>
  <c r="K20" i="14"/>
  <c r="I19" i="14"/>
  <c r="K19" i="14" s="1"/>
  <c r="I17" i="14"/>
  <c r="K14" i="14"/>
  <c r="J14" i="14"/>
  <c r="I14" i="14"/>
  <c r="K12" i="14"/>
  <c r="J12" i="14"/>
  <c r="I12" i="14"/>
  <c r="K11" i="14"/>
  <c r="J11" i="14"/>
  <c r="I11" i="14"/>
  <c r="D30" i="13"/>
  <c r="D29" i="13"/>
  <c r="D28" i="13"/>
  <c r="D27" i="13"/>
  <c r="D26" i="13"/>
  <c r="D25" i="13"/>
  <c r="D24" i="13"/>
  <c r="D23" i="13"/>
  <c r="D22" i="13"/>
  <c r="D11" i="13"/>
  <c r="D10" i="13"/>
  <c r="D9" i="13"/>
  <c r="D8" i="13"/>
  <c r="D7" i="13"/>
  <c r="D6" i="13"/>
  <c r="D5" i="13"/>
  <c r="D4" i="13"/>
  <c r="I12" i="12" l="1"/>
  <c r="C12" i="12"/>
  <c r="C17" i="11" l="1"/>
  <c r="C16" i="11"/>
  <c r="C15" i="11"/>
  <c r="C14" i="11"/>
  <c r="C13" i="11"/>
  <c r="C12" i="11"/>
  <c r="C11" i="11"/>
  <c r="C10" i="11"/>
  <c r="C9" i="11"/>
  <c r="L8" i="11"/>
  <c r="K8" i="11"/>
  <c r="J8" i="11"/>
  <c r="I8" i="11"/>
  <c r="H8" i="11"/>
  <c r="G8" i="11"/>
  <c r="F8" i="11"/>
  <c r="E8" i="11"/>
  <c r="D8" i="11"/>
  <c r="C8" i="11"/>
  <c r="C7" i="11"/>
  <c r="C6" i="11"/>
  <c r="C5" i="11"/>
  <c r="H12" i="10"/>
  <c r="C12" i="10"/>
  <c r="B12" i="10"/>
  <c r="H11" i="10"/>
  <c r="C11" i="10"/>
  <c r="B11" i="10"/>
  <c r="H10" i="10"/>
  <c r="B10" i="10" s="1"/>
  <c r="C10" i="10"/>
  <c r="H9" i="10"/>
  <c r="C9" i="10"/>
  <c r="B9" i="10" s="1"/>
  <c r="H8" i="10"/>
  <c r="C8" i="10"/>
  <c r="B8" i="10"/>
  <c r="H7" i="10"/>
  <c r="C7" i="10"/>
  <c r="B7" i="10"/>
  <c r="H6" i="10"/>
  <c r="B6" i="10" s="1"/>
  <c r="C6" i="10"/>
  <c r="D47" i="9"/>
  <c r="D38" i="9"/>
  <c r="L31" i="9"/>
  <c r="F31" i="9"/>
  <c r="E31" i="9"/>
  <c r="D31" i="9"/>
  <c r="L30" i="9"/>
  <c r="F30" i="9"/>
  <c r="E30" i="9"/>
  <c r="D30" i="9"/>
  <c r="L29" i="9"/>
  <c r="H29" i="9"/>
  <c r="G29" i="9"/>
  <c r="F29" i="9"/>
  <c r="E29" i="9"/>
  <c r="D29" i="9"/>
  <c r="L28" i="9"/>
  <c r="H28" i="9"/>
  <c r="G28" i="9"/>
  <c r="F28" i="9"/>
  <c r="E28" i="9"/>
  <c r="D28" i="9"/>
  <c r="L27" i="9"/>
  <c r="H27" i="9"/>
  <c r="G27" i="9"/>
  <c r="F27" i="9"/>
  <c r="E27" i="9"/>
  <c r="F26" i="9"/>
  <c r="E26" i="9"/>
  <c r="D26" i="9"/>
  <c r="C26" i="9"/>
  <c r="L25" i="9"/>
  <c r="K25" i="9"/>
  <c r="E25" i="9"/>
  <c r="D25" i="9"/>
  <c r="C25" i="9" s="1"/>
  <c r="L24" i="9"/>
  <c r="K24" i="9"/>
  <c r="G24" i="9"/>
  <c r="D24" i="9" s="1"/>
  <c r="C24" i="9" s="1"/>
  <c r="F24" i="9"/>
  <c r="E24" i="9"/>
  <c r="L23" i="9"/>
  <c r="K23" i="9"/>
  <c r="K22" i="9" s="1"/>
  <c r="F23" i="9"/>
  <c r="F22" i="9" s="1"/>
  <c r="E23" i="9"/>
  <c r="E22" i="9" s="1"/>
  <c r="Q22" i="9"/>
  <c r="P22" i="9"/>
  <c r="O22" i="9"/>
  <c r="N22" i="9"/>
  <c r="M22" i="9"/>
  <c r="L22" i="9"/>
  <c r="J22" i="9"/>
  <c r="I22" i="9"/>
  <c r="H22" i="9"/>
  <c r="F21" i="9"/>
  <c r="E21" i="9"/>
  <c r="D21" i="9"/>
  <c r="C21" i="9" s="1"/>
  <c r="L20" i="9"/>
  <c r="K20" i="9"/>
  <c r="K17" i="9" s="1"/>
  <c r="F20" i="9"/>
  <c r="D20" i="9" s="1"/>
  <c r="C20" i="9" s="1"/>
  <c r="E20" i="9"/>
  <c r="L19" i="9"/>
  <c r="K19" i="9"/>
  <c r="G19" i="9"/>
  <c r="G17" i="9" s="1"/>
  <c r="F19" i="9"/>
  <c r="E19" i="9"/>
  <c r="D19" i="9" s="1"/>
  <c r="C19" i="9" s="1"/>
  <c r="F18" i="9"/>
  <c r="F17" i="9" s="1"/>
  <c r="E18" i="9"/>
  <c r="D18" i="9" s="1"/>
  <c r="Q17" i="9"/>
  <c r="P17" i="9"/>
  <c r="O17" i="9"/>
  <c r="N17" i="9"/>
  <c r="M17" i="9"/>
  <c r="L17" i="9"/>
  <c r="J17" i="9"/>
  <c r="I17" i="9"/>
  <c r="H17" i="9"/>
  <c r="F16" i="9"/>
  <c r="E16" i="9"/>
  <c r="D16" i="9"/>
  <c r="C16" i="9" s="1"/>
  <c r="L15" i="9"/>
  <c r="K15" i="9"/>
  <c r="F15" i="9"/>
  <c r="D15" i="9" s="1"/>
  <c r="C15" i="9" s="1"/>
  <c r="E15" i="9"/>
  <c r="L14" i="9"/>
  <c r="G14" i="9"/>
  <c r="F14" i="9"/>
  <c r="E14" i="9"/>
  <c r="D14" i="9"/>
  <c r="C14" i="9" s="1"/>
  <c r="L13" i="9"/>
  <c r="K13" i="9"/>
  <c r="K12" i="9" s="1"/>
  <c r="E13" i="9"/>
  <c r="E12" i="9" s="1"/>
  <c r="Q12" i="9"/>
  <c r="P12" i="9"/>
  <c r="O12" i="9"/>
  <c r="N12" i="9"/>
  <c r="M12" i="9"/>
  <c r="L12" i="9"/>
  <c r="J12" i="9"/>
  <c r="I12" i="9"/>
  <c r="H12" i="9"/>
  <c r="G12" i="9"/>
  <c r="D11" i="9"/>
  <c r="C11" i="9"/>
  <c r="D10" i="9"/>
  <c r="C10" i="9" s="1"/>
  <c r="D9" i="9"/>
  <c r="C9" i="9"/>
  <c r="D8" i="9"/>
  <c r="D7" i="9" s="1"/>
  <c r="Q7" i="9"/>
  <c r="P7" i="9"/>
  <c r="O7" i="9"/>
  <c r="N7" i="9"/>
  <c r="M7" i="9"/>
  <c r="L7" i="9"/>
  <c r="K7" i="9"/>
  <c r="J7" i="9"/>
  <c r="I7" i="9"/>
  <c r="H7" i="9"/>
  <c r="G7" i="9"/>
  <c r="F7" i="9"/>
  <c r="E7" i="9"/>
  <c r="D17" i="9" l="1"/>
  <c r="C18" i="9"/>
  <c r="C17" i="9" s="1"/>
  <c r="E17" i="9"/>
  <c r="F12" i="9"/>
  <c r="C8" i="9"/>
  <c r="C7" i="9" s="1"/>
  <c r="D13" i="9"/>
  <c r="G22" i="9"/>
  <c r="D23" i="9"/>
  <c r="D12" i="9" l="1"/>
  <c r="C13" i="9"/>
  <c r="C12" i="9" s="1"/>
  <c r="D22" i="9"/>
  <c r="C23" i="9"/>
  <c r="C22" i="9" s="1"/>
  <c r="F84" i="8"/>
  <c r="F83" i="8"/>
  <c r="D83" i="8" s="1"/>
  <c r="F82" i="8"/>
  <c r="F81" i="8"/>
  <c r="D81" i="8"/>
  <c r="F80" i="8"/>
  <c r="D79" i="8" s="1"/>
  <c r="F79" i="8"/>
  <c r="F78" i="8"/>
  <c r="F77" i="8"/>
  <c r="D77" i="8" s="1"/>
  <c r="F76" i="8"/>
  <c r="F75" i="8"/>
  <c r="D75" i="8" s="1"/>
  <c r="F74" i="8"/>
  <c r="F73" i="8"/>
  <c r="D73" i="8"/>
  <c r="F72" i="8"/>
  <c r="D71" i="8" s="1"/>
  <c r="F71" i="8"/>
  <c r="F70" i="8"/>
  <c r="F69" i="8"/>
  <c r="D69" i="8" s="1"/>
  <c r="F68" i="8"/>
  <c r="F67" i="8"/>
  <c r="D67" i="8" s="1"/>
  <c r="F66" i="8"/>
  <c r="F65" i="8"/>
  <c r="D65" i="8"/>
  <c r="F64" i="8"/>
  <c r="F63" i="8"/>
  <c r="D63" i="8"/>
  <c r="F62" i="8"/>
  <c r="F61" i="8"/>
  <c r="D61" i="8" s="1"/>
  <c r="F60" i="8"/>
  <c r="F59" i="8"/>
  <c r="D59" i="8" s="1"/>
  <c r="F58" i="8"/>
  <c r="F57" i="8"/>
  <c r="D57" i="8"/>
  <c r="P56" i="8"/>
  <c r="O56" i="8"/>
  <c r="N56" i="8"/>
  <c r="M56" i="8"/>
  <c r="L56" i="8"/>
  <c r="K56" i="8"/>
  <c r="J56" i="8"/>
  <c r="I56" i="8"/>
  <c r="F56" i="8" s="1"/>
  <c r="H56" i="8"/>
  <c r="G56" i="8"/>
  <c r="P55" i="8"/>
  <c r="O55" i="8"/>
  <c r="N55" i="8"/>
  <c r="M55" i="8"/>
  <c r="L55" i="8"/>
  <c r="K55" i="8"/>
  <c r="J55" i="8"/>
  <c r="I55" i="8"/>
  <c r="H55" i="8"/>
  <c r="G55" i="8"/>
  <c r="F55" i="8" s="1"/>
  <c r="D55" i="8" s="1"/>
  <c r="F54" i="8"/>
  <c r="F53" i="8"/>
  <c r="D53" i="8" s="1"/>
  <c r="F52" i="8"/>
  <c r="F51" i="8"/>
  <c r="D51" i="8" s="1"/>
  <c r="F50" i="8"/>
  <c r="F49" i="8"/>
  <c r="D49" i="8" s="1"/>
  <c r="F48" i="8"/>
  <c r="F47" i="8"/>
  <c r="D47" i="8"/>
  <c r="P46" i="8"/>
  <c r="O46" i="8"/>
  <c r="N46" i="8"/>
  <c r="M46" i="8"/>
  <c r="L46" i="8"/>
  <c r="K46" i="8"/>
  <c r="J46" i="8"/>
  <c r="I46" i="8"/>
  <c r="H46" i="8"/>
  <c r="G46" i="8"/>
  <c r="F46" i="8" s="1"/>
  <c r="P45" i="8"/>
  <c r="O45" i="8"/>
  <c r="N45" i="8"/>
  <c r="M45" i="8"/>
  <c r="L45" i="8"/>
  <c r="K45" i="8"/>
  <c r="J45" i="8"/>
  <c r="I45" i="8"/>
  <c r="H45" i="8"/>
  <c r="G45" i="8"/>
  <c r="F45" i="8" s="1"/>
  <c r="D45" i="8" s="1"/>
  <c r="F44" i="8"/>
  <c r="F43" i="8"/>
  <c r="D43" i="8" s="1"/>
  <c r="F42" i="8"/>
  <c r="F41" i="8"/>
  <c r="D41" i="8"/>
  <c r="F40" i="8"/>
  <c r="F39" i="8"/>
  <c r="D39" i="8"/>
  <c r="F38" i="8"/>
  <c r="F37" i="8"/>
  <c r="D37" i="8" s="1"/>
  <c r="P36" i="8"/>
  <c r="O36" i="8"/>
  <c r="N36" i="8"/>
  <c r="M36" i="8"/>
  <c r="L36" i="8"/>
  <c r="K36" i="8"/>
  <c r="J36" i="8"/>
  <c r="I36" i="8"/>
  <c r="H36" i="8"/>
  <c r="G36" i="8"/>
  <c r="F36" i="8" s="1"/>
  <c r="P35" i="8"/>
  <c r="O35" i="8"/>
  <c r="N35" i="8"/>
  <c r="M35" i="8"/>
  <c r="L35" i="8"/>
  <c r="K35" i="8"/>
  <c r="J35" i="8"/>
  <c r="I35" i="8"/>
  <c r="H35" i="8"/>
  <c r="G35" i="8"/>
  <c r="F35" i="8"/>
  <c r="F34" i="8"/>
  <c r="F33" i="8"/>
  <c r="D33" i="8"/>
  <c r="F32" i="8"/>
  <c r="F31" i="8"/>
  <c r="D31" i="8"/>
  <c r="F30" i="8"/>
  <c r="F29" i="8"/>
  <c r="D29" i="8" s="1"/>
  <c r="F28" i="8"/>
  <c r="F27" i="8"/>
  <c r="D27" i="8" s="1"/>
  <c r="P26" i="8"/>
  <c r="O26" i="8"/>
  <c r="N26" i="8"/>
  <c r="M26" i="8"/>
  <c r="L26" i="8"/>
  <c r="K26" i="8"/>
  <c r="J26" i="8"/>
  <c r="I26" i="8"/>
  <c r="H26" i="8"/>
  <c r="G26" i="8"/>
  <c r="F26" i="8"/>
  <c r="P25" i="8"/>
  <c r="O25" i="8"/>
  <c r="N25" i="8"/>
  <c r="M25" i="8"/>
  <c r="L25" i="8"/>
  <c r="K25" i="8"/>
  <c r="J25" i="8"/>
  <c r="I25" i="8"/>
  <c r="F25" i="8" s="1"/>
  <c r="D25" i="8" s="1"/>
  <c r="H25" i="8"/>
  <c r="G25" i="8"/>
  <c r="F24" i="8"/>
  <c r="F23" i="8"/>
  <c r="D23" i="8"/>
  <c r="F22" i="8"/>
  <c r="F21" i="8"/>
  <c r="D21" i="8" s="1"/>
  <c r="F20" i="8"/>
  <c r="F19" i="8"/>
  <c r="D19" i="8" s="1"/>
  <c r="F18" i="8"/>
  <c r="F17" i="8"/>
  <c r="D17" i="8"/>
  <c r="P16" i="8"/>
  <c r="O16" i="8"/>
  <c r="N16" i="8"/>
  <c r="M16" i="8"/>
  <c r="L16" i="8"/>
  <c r="K16" i="8"/>
  <c r="J16" i="8"/>
  <c r="I16" i="8"/>
  <c r="F16" i="8" s="1"/>
  <c r="H16" i="8"/>
  <c r="G16" i="8"/>
  <c r="P15" i="8"/>
  <c r="O15" i="8"/>
  <c r="N15" i="8"/>
  <c r="M15" i="8"/>
  <c r="L15" i="8"/>
  <c r="K15" i="8"/>
  <c r="J15" i="8"/>
  <c r="I15" i="8"/>
  <c r="H15" i="8"/>
  <c r="G15" i="8"/>
  <c r="F15" i="8" s="1"/>
  <c r="D15" i="8" s="1"/>
  <c r="F14" i="8"/>
  <c r="F13" i="8"/>
  <c r="D13" i="8" s="1"/>
  <c r="F12" i="8"/>
  <c r="F11" i="8"/>
  <c r="D11" i="8" s="1"/>
  <c r="F10" i="8"/>
  <c r="F9" i="8"/>
  <c r="D9" i="8"/>
  <c r="F8" i="8"/>
  <c r="F7" i="8"/>
  <c r="D7" i="8"/>
  <c r="P6" i="8"/>
  <c r="O6" i="8"/>
  <c r="N6" i="8"/>
  <c r="M6" i="8"/>
  <c r="L6" i="8"/>
  <c r="K6" i="8"/>
  <c r="J6" i="8"/>
  <c r="I6" i="8"/>
  <c r="H6" i="8"/>
  <c r="G6" i="8"/>
  <c r="F6" i="8" s="1"/>
  <c r="P5" i="8"/>
  <c r="O5" i="8"/>
  <c r="N5" i="8"/>
  <c r="M5" i="8"/>
  <c r="L5" i="8"/>
  <c r="K5" i="8"/>
  <c r="J5" i="8"/>
  <c r="I5" i="8"/>
  <c r="H5" i="8"/>
  <c r="G5" i="8"/>
  <c r="F5" i="8" s="1"/>
  <c r="E85" i="7"/>
  <c r="D85" i="7"/>
  <c r="E84" i="7"/>
  <c r="D84" i="7"/>
  <c r="E83" i="7"/>
  <c r="D83" i="7"/>
  <c r="E82" i="7"/>
  <c r="D82" i="7"/>
  <c r="E81" i="7"/>
  <c r="D81" i="7"/>
  <c r="E80" i="7"/>
  <c r="D80" i="7"/>
  <c r="E79" i="7"/>
  <c r="D79" i="7"/>
  <c r="E78" i="7"/>
  <c r="D78" i="7"/>
  <c r="G77" i="7"/>
  <c r="F77" i="7"/>
  <c r="D77" i="7" s="1"/>
  <c r="E77" i="7"/>
  <c r="E76" i="7"/>
  <c r="D76" i="7"/>
  <c r="E75" i="7"/>
  <c r="D75" i="7"/>
  <c r="E71" i="7"/>
  <c r="D71" i="7"/>
  <c r="E70" i="7"/>
  <c r="D70" i="7"/>
  <c r="E69" i="7"/>
  <c r="D69" i="7"/>
  <c r="E68" i="7"/>
  <c r="D68" i="7"/>
  <c r="E67" i="7"/>
  <c r="D67" i="7"/>
  <c r="E61" i="7"/>
  <c r="D61" i="7"/>
  <c r="E60" i="7"/>
  <c r="D60" i="7"/>
  <c r="O59" i="7"/>
  <c r="N59" i="7"/>
  <c r="M59" i="7"/>
  <c r="L59" i="7"/>
  <c r="K59" i="7"/>
  <c r="J59" i="7"/>
  <c r="I59" i="7"/>
  <c r="H59" i="7"/>
  <c r="G59" i="7"/>
  <c r="F59" i="7"/>
  <c r="E59" i="7"/>
  <c r="D59" i="7"/>
  <c r="E58" i="7"/>
  <c r="D58" i="7"/>
  <c r="E57" i="7"/>
  <c r="E56" i="7" s="1"/>
  <c r="D57" i="7"/>
  <c r="O56" i="7"/>
  <c r="N56" i="7"/>
  <c r="M56" i="7"/>
  <c r="L56" i="7"/>
  <c r="K56" i="7"/>
  <c r="J56" i="7"/>
  <c r="I56" i="7"/>
  <c r="H56" i="7"/>
  <c r="G56" i="7"/>
  <c r="F56" i="7"/>
  <c r="D56" i="7"/>
  <c r="E55" i="7"/>
  <c r="E53" i="7" s="1"/>
  <c r="D55" i="7"/>
  <c r="E54" i="7"/>
  <c r="D54" i="7"/>
  <c r="O53" i="7"/>
  <c r="N53" i="7"/>
  <c r="M53" i="7"/>
  <c r="L53" i="7"/>
  <c r="K53" i="7"/>
  <c r="J53" i="7"/>
  <c r="I53" i="7"/>
  <c r="H53" i="7"/>
  <c r="G53" i="7"/>
  <c r="F53" i="7"/>
  <c r="D53" i="7"/>
  <c r="E52" i="7"/>
  <c r="E50" i="7" s="1"/>
  <c r="D52" i="7"/>
  <c r="E51" i="7"/>
  <c r="D51" i="7"/>
  <c r="O50" i="7"/>
  <c r="N50" i="7"/>
  <c r="M50" i="7"/>
  <c r="L50" i="7"/>
  <c r="K50" i="7"/>
  <c r="J50" i="7"/>
  <c r="I50" i="7"/>
  <c r="H50" i="7"/>
  <c r="G50" i="7"/>
  <c r="F50" i="7"/>
  <c r="D50" i="7"/>
  <c r="E49" i="7"/>
  <c r="E47" i="7" s="1"/>
  <c r="D49" i="7"/>
  <c r="E48" i="7"/>
  <c r="D48" i="7"/>
  <c r="O47" i="7"/>
  <c r="N47" i="7"/>
  <c r="M47" i="7"/>
  <c r="L47" i="7"/>
  <c r="K47" i="7"/>
  <c r="J47" i="7"/>
  <c r="I47" i="7"/>
  <c r="H47" i="7"/>
  <c r="G47" i="7"/>
  <c r="F47" i="7"/>
  <c r="D47" i="7"/>
  <c r="E46" i="7"/>
  <c r="E44" i="7" s="1"/>
  <c r="D46" i="7"/>
  <c r="E45" i="7"/>
  <c r="D45" i="7"/>
  <c r="O44" i="7"/>
  <c r="N44" i="7"/>
  <c r="M44" i="7"/>
  <c r="L44" i="7"/>
  <c r="K44" i="7"/>
  <c r="J44" i="7"/>
  <c r="I44" i="7"/>
  <c r="H44" i="7"/>
  <c r="G44" i="7"/>
  <c r="F44" i="7"/>
  <c r="D44" i="7"/>
  <c r="E43" i="7"/>
  <c r="E41" i="7" s="1"/>
  <c r="D43" i="7"/>
  <c r="E42" i="7"/>
  <c r="D42" i="7"/>
  <c r="O41" i="7"/>
  <c r="N41" i="7"/>
  <c r="M41" i="7"/>
  <c r="L41" i="7"/>
  <c r="K41" i="7"/>
  <c r="J41" i="7"/>
  <c r="I41" i="7"/>
  <c r="H41" i="7"/>
  <c r="G41" i="7"/>
  <c r="F41" i="7"/>
  <c r="D41" i="7"/>
  <c r="E40" i="7"/>
  <c r="E38" i="7" s="1"/>
  <c r="D40" i="7"/>
  <c r="E39" i="7"/>
  <c r="D39" i="7"/>
  <c r="O38" i="7"/>
  <c r="N38" i="7"/>
  <c r="M38" i="7"/>
  <c r="L38" i="7"/>
  <c r="K38" i="7"/>
  <c r="J38" i="7"/>
  <c r="I38" i="7"/>
  <c r="H38" i="7"/>
  <c r="G38" i="7"/>
  <c r="F38" i="7"/>
  <c r="D38" i="7"/>
  <c r="E37" i="7"/>
  <c r="D37" i="7"/>
  <c r="G36" i="7"/>
  <c r="F36" i="7"/>
  <c r="D36" i="7" s="1"/>
  <c r="D35" i="7" s="1"/>
  <c r="E36" i="7"/>
  <c r="O35" i="7"/>
  <c r="N35" i="7"/>
  <c r="M35" i="7"/>
  <c r="L35" i="7"/>
  <c r="K35" i="7"/>
  <c r="J35" i="7"/>
  <c r="I35" i="7"/>
  <c r="H35" i="7"/>
  <c r="G35" i="7"/>
  <c r="F35" i="7"/>
  <c r="E35" i="7"/>
  <c r="E34" i="7"/>
  <c r="D34" i="7"/>
  <c r="D32" i="7" s="1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E31" i="7"/>
  <c r="D31" i="7"/>
  <c r="D29" i="7" s="1"/>
  <c r="E30" i="7"/>
  <c r="D30" i="7"/>
  <c r="O29" i="7"/>
  <c r="N29" i="7"/>
  <c r="M29" i="7"/>
  <c r="L29" i="7"/>
  <c r="K29" i="7"/>
  <c r="J29" i="7"/>
  <c r="I29" i="7"/>
  <c r="H29" i="7"/>
  <c r="G29" i="7"/>
  <c r="F29" i="7"/>
  <c r="E29" i="7"/>
  <c r="O26" i="7"/>
  <c r="N26" i="7"/>
  <c r="M26" i="7"/>
  <c r="L26" i="7"/>
  <c r="K26" i="7"/>
  <c r="J26" i="7"/>
  <c r="I26" i="7"/>
  <c r="H26" i="7"/>
  <c r="G26" i="7"/>
  <c r="F26" i="7"/>
  <c r="E26" i="7"/>
  <c r="D26" i="7"/>
  <c r="O20" i="7"/>
  <c r="N20" i="7"/>
  <c r="M20" i="7"/>
  <c r="L20" i="7"/>
  <c r="K20" i="7"/>
  <c r="J20" i="7"/>
  <c r="I20" i="7"/>
  <c r="H20" i="7"/>
  <c r="E20" i="7"/>
  <c r="D20" i="7"/>
  <c r="E19" i="7"/>
  <c r="D19" i="7"/>
  <c r="G18" i="7"/>
  <c r="F18" i="7"/>
  <c r="D18" i="7" s="1"/>
  <c r="D17" i="7" s="1"/>
  <c r="E18" i="7"/>
  <c r="O17" i="7"/>
  <c r="N17" i="7"/>
  <c r="M17" i="7"/>
  <c r="L17" i="7"/>
  <c r="K17" i="7"/>
  <c r="J17" i="7"/>
  <c r="I17" i="7"/>
  <c r="H17" i="7"/>
  <c r="G17" i="7"/>
  <c r="F17" i="7"/>
  <c r="E17" i="7"/>
  <c r="E16" i="7"/>
  <c r="D16" i="7"/>
  <c r="G15" i="7"/>
  <c r="E15" i="7" s="1"/>
  <c r="E14" i="7" s="1"/>
  <c r="F15" i="7"/>
  <c r="D15" i="7"/>
  <c r="O14" i="7"/>
  <c r="N14" i="7"/>
  <c r="M14" i="7"/>
  <c r="L14" i="7"/>
  <c r="K14" i="7"/>
  <c r="J14" i="7"/>
  <c r="I14" i="7"/>
  <c r="H14" i="7"/>
  <c r="G14" i="7"/>
  <c r="F14" i="7"/>
  <c r="D14" i="7"/>
  <c r="E13" i="7"/>
  <c r="D13" i="7"/>
  <c r="G12" i="7"/>
  <c r="F12" i="7"/>
  <c r="D12" i="7" s="1"/>
  <c r="D11" i="7" s="1"/>
  <c r="E12" i="7"/>
  <c r="O11" i="7"/>
  <c r="N11" i="7"/>
  <c r="M11" i="7"/>
  <c r="L11" i="7"/>
  <c r="K11" i="7"/>
  <c r="J11" i="7"/>
  <c r="I11" i="7"/>
  <c r="H11" i="7"/>
  <c r="G11" i="7"/>
  <c r="F11" i="7"/>
  <c r="E11" i="7"/>
  <c r="E10" i="7"/>
  <c r="D10" i="7"/>
  <c r="G9" i="7"/>
  <c r="E9" i="7" s="1"/>
  <c r="E8" i="7" s="1"/>
  <c r="F9" i="7"/>
  <c r="D9" i="7"/>
  <c r="O8" i="7"/>
  <c r="N8" i="7"/>
  <c r="M8" i="7"/>
  <c r="L8" i="7"/>
  <c r="K8" i="7"/>
  <c r="J8" i="7"/>
  <c r="I8" i="7"/>
  <c r="H8" i="7"/>
  <c r="G8" i="7"/>
  <c r="F8" i="7"/>
  <c r="D8" i="7"/>
  <c r="E7" i="7"/>
  <c r="D7" i="7"/>
  <c r="G6" i="7"/>
  <c r="F6" i="7"/>
  <c r="D6" i="7" s="1"/>
  <c r="D5" i="7" s="1"/>
  <c r="E6" i="7"/>
  <c r="O5" i="7"/>
  <c r="N5" i="7"/>
  <c r="M5" i="7"/>
  <c r="L5" i="7"/>
  <c r="K5" i="7"/>
  <c r="J5" i="7"/>
  <c r="I5" i="7"/>
  <c r="H5" i="7"/>
  <c r="G5" i="7"/>
  <c r="F5" i="7"/>
  <c r="E5" i="7"/>
  <c r="L46" i="5"/>
  <c r="H46" i="5"/>
  <c r="C46" i="5"/>
  <c r="L45" i="5"/>
  <c r="H45" i="5"/>
  <c r="C45" i="5"/>
  <c r="L44" i="5"/>
  <c r="H44" i="5"/>
  <c r="C44" i="5"/>
  <c r="L43" i="5"/>
  <c r="H43" i="5"/>
  <c r="D43" i="5"/>
  <c r="C43" i="5"/>
  <c r="L42" i="5"/>
  <c r="H42" i="5"/>
  <c r="D42" i="5"/>
  <c r="C42" i="5"/>
  <c r="L35" i="5"/>
  <c r="H35" i="5"/>
  <c r="D35" i="5"/>
  <c r="C35" i="5"/>
  <c r="L34" i="5"/>
  <c r="H34" i="5"/>
  <c r="D34" i="5"/>
  <c r="C34" i="5"/>
  <c r="L33" i="5"/>
  <c r="H33" i="5"/>
  <c r="D33" i="5"/>
  <c r="C33" i="5"/>
  <c r="L32" i="5"/>
  <c r="L31" i="5" s="1"/>
  <c r="H32" i="5"/>
  <c r="D32" i="5"/>
  <c r="C32" i="5"/>
  <c r="N31" i="5"/>
  <c r="M31" i="5"/>
  <c r="J31" i="5"/>
  <c r="I31" i="5"/>
  <c r="H31" i="5"/>
  <c r="F31" i="5"/>
  <c r="E31" i="5"/>
  <c r="D31" i="5"/>
  <c r="C31" i="5"/>
  <c r="L30" i="5"/>
  <c r="H30" i="5"/>
  <c r="D30" i="5"/>
  <c r="C30" i="5"/>
  <c r="L29" i="5"/>
  <c r="H29" i="5"/>
  <c r="D29" i="5"/>
  <c r="C29" i="5"/>
  <c r="L28" i="5"/>
  <c r="H28" i="5"/>
  <c r="D28" i="5"/>
  <c r="C28" i="5"/>
  <c r="L27" i="5"/>
  <c r="H27" i="5"/>
  <c r="D27" i="5"/>
  <c r="D26" i="5" s="1"/>
  <c r="C27" i="5"/>
  <c r="C26" i="5" s="1"/>
  <c r="N26" i="5"/>
  <c r="M26" i="5"/>
  <c r="L26" i="5"/>
  <c r="J26" i="5"/>
  <c r="I26" i="5"/>
  <c r="H26" i="5"/>
  <c r="F26" i="5"/>
  <c r="E26" i="5"/>
  <c r="L25" i="5"/>
  <c r="H25" i="5"/>
  <c r="D25" i="5"/>
  <c r="C25" i="5"/>
  <c r="L24" i="5"/>
  <c r="H24" i="5"/>
  <c r="D24" i="5"/>
  <c r="C24" i="5"/>
  <c r="L23" i="5"/>
  <c r="H23" i="5"/>
  <c r="D23" i="5"/>
  <c r="C23" i="5"/>
  <c r="L22" i="5"/>
  <c r="L21" i="5" s="1"/>
  <c r="H22" i="5"/>
  <c r="H21" i="5" s="1"/>
  <c r="D22" i="5"/>
  <c r="C22" i="5"/>
  <c r="C21" i="5" s="1"/>
  <c r="N21" i="5"/>
  <c r="M21" i="5"/>
  <c r="K21" i="5"/>
  <c r="J21" i="5"/>
  <c r="I21" i="5"/>
  <c r="F21" i="5"/>
  <c r="E21" i="5"/>
  <c r="D21" i="5"/>
  <c r="L20" i="5"/>
  <c r="H20" i="5"/>
  <c r="D20" i="5"/>
  <c r="C20" i="5" s="1"/>
  <c r="L19" i="5"/>
  <c r="H19" i="5"/>
  <c r="D19" i="5"/>
  <c r="C19" i="5" s="1"/>
  <c r="L18" i="5"/>
  <c r="H18" i="5"/>
  <c r="D18" i="5"/>
  <c r="C18" i="5" s="1"/>
  <c r="L17" i="5"/>
  <c r="H17" i="5"/>
  <c r="D17" i="5"/>
  <c r="D16" i="5" s="1"/>
  <c r="N16" i="5"/>
  <c r="M16" i="5"/>
  <c r="L16" i="5"/>
  <c r="K16" i="5"/>
  <c r="J16" i="5"/>
  <c r="I16" i="5"/>
  <c r="H16" i="5"/>
  <c r="F16" i="5"/>
  <c r="E16" i="5"/>
  <c r="L15" i="5"/>
  <c r="H15" i="5"/>
  <c r="D15" i="5"/>
  <c r="C15" i="5"/>
  <c r="L14" i="5"/>
  <c r="H14" i="5"/>
  <c r="D14" i="5"/>
  <c r="C14" i="5"/>
  <c r="L13" i="5"/>
  <c r="H13" i="5"/>
  <c r="D13" i="5"/>
  <c r="C13" i="5"/>
  <c r="L12" i="5"/>
  <c r="H12" i="5"/>
  <c r="D12" i="5"/>
  <c r="D11" i="5" s="1"/>
  <c r="C12" i="5"/>
  <c r="C11" i="5" s="1"/>
  <c r="N11" i="5"/>
  <c r="M11" i="5"/>
  <c r="L11" i="5"/>
  <c r="K11" i="5"/>
  <c r="J11" i="5"/>
  <c r="I11" i="5"/>
  <c r="H11" i="5"/>
  <c r="F11" i="5"/>
  <c r="E11" i="5"/>
  <c r="L10" i="5"/>
  <c r="H10" i="5"/>
  <c r="D10" i="5"/>
  <c r="C10" i="5"/>
  <c r="L9" i="5"/>
  <c r="H9" i="5"/>
  <c r="D9" i="5"/>
  <c r="C9" i="5"/>
  <c r="L8" i="5"/>
  <c r="H8" i="5"/>
  <c r="D8" i="5"/>
  <c r="C8" i="5"/>
  <c r="L7" i="5"/>
  <c r="L6" i="5" s="1"/>
  <c r="H7" i="5"/>
  <c r="D7" i="5"/>
  <c r="D6" i="5" s="1"/>
  <c r="C7" i="5"/>
  <c r="C6" i="5" s="1"/>
  <c r="N6" i="5"/>
  <c r="M6" i="5"/>
  <c r="K6" i="5"/>
  <c r="J6" i="5"/>
  <c r="I6" i="5"/>
  <c r="H6" i="5"/>
  <c r="F6" i="5"/>
  <c r="E6" i="5"/>
  <c r="D35" i="8" l="1"/>
  <c r="D5" i="8"/>
  <c r="C17" i="5"/>
  <c r="C16" i="5" s="1"/>
</calcChain>
</file>

<file path=xl/sharedStrings.xml><?xml version="1.0" encoding="utf-8"?>
<sst xmlns="http://schemas.openxmlformats.org/spreadsheetml/2006/main" count="1178" uniqueCount="484">
  <si>
    <t>O-12．ＣＡＴＶ加入状況</t>
    <rPh sb="9" eb="11">
      <t>カニュウ</t>
    </rPh>
    <rPh sb="11" eb="13">
      <t>ジョウキョウ</t>
    </rPh>
    <phoneticPr fontId="4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</si>
  <si>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7"/>
  </si>
  <si>
    <t>年次</t>
    <rPh sb="1" eb="2">
      <t>ツギ</t>
    </rPh>
    <phoneticPr fontId="7"/>
  </si>
  <si>
    <t>加入世帯数</t>
    <rPh sb="0" eb="2">
      <t>カニュウ</t>
    </rPh>
    <rPh sb="2" eb="4">
      <t>セタイ</t>
    </rPh>
    <rPh sb="4" eb="5">
      <t>スウ</t>
    </rPh>
    <phoneticPr fontId="4"/>
  </si>
  <si>
    <t>加  入  率</t>
    <rPh sb="0" eb="1">
      <t>カ</t>
    </rPh>
    <rPh sb="3" eb="4">
      <t>イリ</t>
    </rPh>
    <rPh sb="6" eb="7">
      <t>リツ</t>
    </rPh>
    <phoneticPr fontId="4"/>
  </si>
  <si>
    <t>TV加入</t>
    <rPh sb="2" eb="4">
      <t>カニュウ</t>
    </rPh>
    <phoneticPr fontId="7"/>
  </si>
  <si>
    <t>NET加入</t>
    <rPh sb="3" eb="5">
      <t>カニュウ</t>
    </rPh>
    <phoneticPr fontId="7"/>
  </si>
  <si>
    <t>平成14年</t>
  </si>
  <si>
    <t>三国町</t>
    <rPh sb="0" eb="3">
      <t>ミクニチョウ</t>
    </rPh>
    <phoneticPr fontId="7"/>
  </si>
  <si>
    <t>-</t>
    <phoneticPr fontId="7"/>
  </si>
  <si>
    <t>-</t>
  </si>
  <si>
    <t>丸岡町</t>
    <rPh sb="0" eb="3">
      <t>マルオカチョウ</t>
    </rPh>
    <phoneticPr fontId="7"/>
  </si>
  <si>
    <t>春江町</t>
    <rPh sb="0" eb="3">
      <t>ハルエチョウ</t>
    </rPh>
    <phoneticPr fontId="7"/>
  </si>
  <si>
    <t>坂井町</t>
    <rPh sb="0" eb="2">
      <t>サカイ</t>
    </rPh>
    <rPh sb="2" eb="3">
      <t>チョウ</t>
    </rPh>
    <phoneticPr fontId="7"/>
  </si>
  <si>
    <t>平成15年</t>
  </si>
  <si>
    <t>平成16年</t>
  </si>
  <si>
    <t>平成17年</t>
  </si>
  <si>
    <t>資料：さかいケーブルテレビ㈱</t>
    <rPh sb="0" eb="2">
      <t>シリョウ</t>
    </rPh>
    <phoneticPr fontId="7"/>
  </si>
  <si>
    <t>O-11．電話施設数</t>
    <rPh sb="5" eb="7">
      <t>デンワ</t>
    </rPh>
    <rPh sb="7" eb="10">
      <t>シセツスウ</t>
    </rPh>
    <phoneticPr fontId="7"/>
  </si>
  <si>
    <t>加入電話</t>
    <rPh sb="0" eb="2">
      <t>カニュウ</t>
    </rPh>
    <rPh sb="2" eb="4">
      <t>デンワ</t>
    </rPh>
    <phoneticPr fontId="7"/>
  </si>
  <si>
    <t>INSネット64</t>
    <phoneticPr fontId="7"/>
  </si>
  <si>
    <t>INSﾈｯﾄ
1500</t>
    <phoneticPr fontId="7"/>
  </si>
  <si>
    <t>公衆電話</t>
    <rPh sb="0" eb="2">
      <t>コウシュウ</t>
    </rPh>
    <rPh sb="2" eb="4">
      <t>デンワ</t>
    </rPh>
    <phoneticPr fontId="7"/>
  </si>
  <si>
    <t>年次</t>
    <rPh sb="0" eb="2">
      <t>ネンジ</t>
    </rPh>
    <phoneticPr fontId="7"/>
  </si>
  <si>
    <t>一般加入電話</t>
    <rPh sb="0" eb="2">
      <t>イッパン</t>
    </rPh>
    <rPh sb="2" eb="4">
      <t>カニュウ</t>
    </rPh>
    <rPh sb="4" eb="6">
      <t>デンワ</t>
    </rPh>
    <phoneticPr fontId="7"/>
  </si>
  <si>
    <t>ビル電話</t>
    <rPh sb="2" eb="4">
      <t>デンワ</t>
    </rPh>
    <phoneticPr fontId="7"/>
  </si>
  <si>
    <t>合計</t>
    <rPh sb="0" eb="2">
      <t>ゴウケイ</t>
    </rPh>
    <phoneticPr fontId="7"/>
  </si>
  <si>
    <t>事務用</t>
    <rPh sb="0" eb="3">
      <t>ジムヨウ</t>
    </rPh>
    <phoneticPr fontId="7"/>
  </si>
  <si>
    <t>住宅用</t>
    <rPh sb="0" eb="3">
      <t>ジュウタクヨウ</t>
    </rPh>
    <phoneticPr fontId="7"/>
  </si>
  <si>
    <t>デジタル</t>
    <phoneticPr fontId="7"/>
  </si>
  <si>
    <t>アナログ</t>
    <phoneticPr fontId="7"/>
  </si>
  <si>
    <t>平成12年</t>
    <rPh sb="0" eb="2">
      <t>ヘイセイ</t>
    </rPh>
    <rPh sb="4" eb="5">
      <t>ネン</t>
    </rPh>
    <phoneticPr fontId="7"/>
  </si>
  <si>
    <t>－</t>
  </si>
  <si>
    <t>－</t>
    <phoneticPr fontId="7"/>
  </si>
  <si>
    <t>坂井町</t>
    <rPh sb="0" eb="3">
      <t>サカイチョウ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</si>
  <si>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</si>
  <si>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</si>
  <si>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－</t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</si>
  <si>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</si>
  <si>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</si>
  <si>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</si>
  <si>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</si>
  <si>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</si>
  <si>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</si>
  <si>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</si>
  <si>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</si>
  <si>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</si>
  <si>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</si>
  <si>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</si>
  <si>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</si>
  <si>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</si>
  <si>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</si>
  <si>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※平成20年よりINSネット1500は集計していない。</t>
    <rPh sb="1" eb="3">
      <t>ヘイセイ</t>
    </rPh>
    <rPh sb="5" eb="6">
      <t>ネン</t>
    </rPh>
    <phoneticPr fontId="7"/>
  </si>
  <si>
    <t>資料：NTT西日本</t>
    <rPh sb="0" eb="1">
      <t>シ</t>
    </rPh>
    <rPh sb="1" eb="2">
      <t>リョウ</t>
    </rPh>
    <rPh sb="6" eb="9">
      <t>ニシニホン</t>
    </rPh>
    <phoneticPr fontId="7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</si>
  <si>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7"/>
  </si>
  <si>
    <t>O-10．航路標識</t>
    <rPh sb="5" eb="7">
      <t>コウロ</t>
    </rPh>
    <rPh sb="7" eb="9">
      <t>ヒョウシキ</t>
    </rPh>
    <phoneticPr fontId="7"/>
  </si>
  <si>
    <r>
      <t>平成28</t>
    </r>
    <r>
      <rPr>
        <sz val="11"/>
        <rFont val="ＭＳ Ｐゴシック"/>
        <family val="3"/>
        <charset val="128"/>
      </rPr>
      <t>年11月1日現在</t>
    </r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7"/>
  </si>
  <si>
    <t>標識名</t>
    <rPh sb="0" eb="1">
      <t>ヒョウ</t>
    </rPh>
    <rPh sb="1" eb="2">
      <t>サトシ</t>
    </rPh>
    <rPh sb="2" eb="3">
      <t>メイ</t>
    </rPh>
    <phoneticPr fontId="7"/>
  </si>
  <si>
    <t>所　　在　　地
位　　　　　置</t>
    <rPh sb="0" eb="1">
      <t>トコロ</t>
    </rPh>
    <rPh sb="3" eb="4">
      <t>ザイ</t>
    </rPh>
    <rPh sb="6" eb="7">
      <t>チ</t>
    </rPh>
    <rPh sb="8" eb="9">
      <t>クライ</t>
    </rPh>
    <rPh sb="14" eb="15">
      <t>オキ</t>
    </rPh>
    <phoneticPr fontId="7"/>
  </si>
  <si>
    <t>塗色および
構造</t>
    <rPh sb="0" eb="1">
      <t>ヌリ</t>
    </rPh>
    <rPh sb="1" eb="2">
      <t>イロ</t>
    </rPh>
    <rPh sb="6" eb="8">
      <t>コウゾウ</t>
    </rPh>
    <phoneticPr fontId="7"/>
  </si>
  <si>
    <t>灯質</t>
    <rPh sb="0" eb="1">
      <t>トウ</t>
    </rPh>
    <rPh sb="1" eb="2">
      <t>シツ</t>
    </rPh>
    <phoneticPr fontId="7"/>
  </si>
  <si>
    <t>光度又は
実効光度</t>
    <rPh sb="0" eb="2">
      <t>コウド</t>
    </rPh>
    <rPh sb="2" eb="3">
      <t>マタ</t>
    </rPh>
    <rPh sb="5" eb="7">
      <t>ジッコウ</t>
    </rPh>
    <rPh sb="7" eb="9">
      <t>コウド</t>
    </rPh>
    <phoneticPr fontId="7"/>
  </si>
  <si>
    <t>光達距離</t>
    <rPh sb="0" eb="1">
      <t>コウ</t>
    </rPh>
    <rPh sb="1" eb="2">
      <t>タツ</t>
    </rPh>
    <rPh sb="2" eb="4">
      <t>キョリ</t>
    </rPh>
    <phoneticPr fontId="7"/>
  </si>
  <si>
    <t>明弧</t>
    <rPh sb="0" eb="1">
      <t>メイ</t>
    </rPh>
    <rPh sb="1" eb="2">
      <t>コ</t>
    </rPh>
    <phoneticPr fontId="7"/>
  </si>
  <si>
    <t>灯高</t>
    <rPh sb="0" eb="1">
      <t>アカ</t>
    </rPh>
    <rPh sb="1" eb="2">
      <t>タカ</t>
    </rPh>
    <phoneticPr fontId="7"/>
  </si>
  <si>
    <t>電源</t>
    <rPh sb="0" eb="1">
      <t>デン</t>
    </rPh>
    <rPh sb="1" eb="2">
      <t>ミナモト</t>
    </rPh>
    <phoneticPr fontId="7"/>
  </si>
  <si>
    <t>光源</t>
    <rPh sb="0" eb="1">
      <t>ヒカリ</t>
    </rPh>
    <rPh sb="1" eb="2">
      <t>ミナモト</t>
    </rPh>
    <phoneticPr fontId="7"/>
  </si>
  <si>
    <t>初点年月日</t>
    <rPh sb="0" eb="1">
      <t>ショ</t>
    </rPh>
    <rPh sb="1" eb="2">
      <t>テン</t>
    </rPh>
    <rPh sb="2" eb="5">
      <t>ネンガッピ</t>
    </rPh>
    <phoneticPr fontId="7"/>
  </si>
  <si>
    <t>地上から</t>
    <rPh sb="0" eb="2">
      <t>チジョウ</t>
    </rPh>
    <phoneticPr fontId="7"/>
  </si>
  <si>
    <t>平均水面上</t>
    <rPh sb="0" eb="2">
      <t>ヘイキン</t>
    </rPh>
    <rPh sb="2" eb="4">
      <t>スイメン</t>
    </rPh>
    <rPh sb="4" eb="5">
      <t>ジョウ</t>
    </rPh>
    <phoneticPr fontId="7"/>
  </si>
  <si>
    <t>現用</t>
    <rPh sb="0" eb="1">
      <t>ウツツ</t>
    </rPh>
    <rPh sb="1" eb="2">
      <t>ヨウ</t>
    </rPh>
    <phoneticPr fontId="7"/>
  </si>
  <si>
    <t>予備</t>
    <rPh sb="0" eb="2">
      <t>ヨビ</t>
    </rPh>
    <phoneticPr fontId="7"/>
  </si>
  <si>
    <t>非常用</t>
    <rPh sb="0" eb="3">
      <t>ヒジョウヨウ</t>
    </rPh>
    <phoneticPr fontId="7"/>
  </si>
  <si>
    <t>電球</t>
    <rPh sb="0" eb="1">
      <t>デン</t>
    </rPh>
    <rPh sb="1" eb="2">
      <t>タマ</t>
    </rPh>
    <phoneticPr fontId="7"/>
  </si>
  <si>
    <t>レンズ</t>
    <phoneticPr fontId="7"/>
  </si>
  <si>
    <t>構造物頂部</t>
    <phoneticPr fontId="7"/>
  </si>
  <si>
    <t>灯火中心</t>
    <phoneticPr fontId="7"/>
  </si>
  <si>
    <t>ｶﾝﾃﾞﾗ</t>
    <phoneticPr fontId="7"/>
  </si>
  <si>
    <t>海里</t>
    <rPh sb="0" eb="2">
      <t>カイリ</t>
    </rPh>
    <phoneticPr fontId="7"/>
  </si>
  <si>
    <t>ｍ</t>
    <phoneticPr fontId="7"/>
  </si>
  <si>
    <t>mm</t>
    <phoneticPr fontId="7"/>
  </si>
  <si>
    <t>福井南</t>
    <rPh sb="0" eb="2">
      <t>フクイ</t>
    </rPh>
    <rPh sb="2" eb="3">
      <t>ミナミ</t>
    </rPh>
    <phoneticPr fontId="7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</si>
  <si>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7"/>
  </si>
  <si>
    <t>赤色塔形</t>
    <rPh sb="0" eb="2">
      <t>アカイロ</t>
    </rPh>
    <rPh sb="2" eb="3">
      <t>トウ</t>
    </rPh>
    <rPh sb="3" eb="4">
      <t>ケイ</t>
    </rPh>
    <phoneticPr fontId="7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</si>
  <si>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7"/>
  </si>
  <si>
    <t>4.5</t>
    <phoneticPr fontId="7"/>
  </si>
  <si>
    <t>全度</t>
    <rPh sb="0" eb="1">
      <t>ゼン</t>
    </rPh>
    <rPh sb="1" eb="2">
      <t>ド</t>
    </rPh>
    <phoneticPr fontId="7"/>
  </si>
  <si>
    <t>10.41</t>
    <phoneticPr fontId="7"/>
  </si>
  <si>
    <t>16.52</t>
    <phoneticPr fontId="7"/>
  </si>
  <si>
    <t>蓄電池</t>
    <phoneticPr fontId="7"/>
  </si>
  <si>
    <t>－</t>
    <phoneticPr fontId="7"/>
  </si>
  <si>
    <t>LED</t>
  </si>
  <si>
    <t>昭54.10.30</t>
    <rPh sb="0" eb="1">
      <t>アキラ</t>
    </rPh>
    <phoneticPr fontId="7"/>
  </si>
  <si>
    <t>防波堤灯台</t>
  </si>
  <si>
    <t>36°12’19”</t>
    <phoneticPr fontId="7"/>
  </si>
  <si>
    <t>136°06’46”</t>
    <phoneticPr fontId="7"/>
  </si>
  <si>
    <t>(コンクリート造)</t>
    <rPh sb="7" eb="8">
      <t>ツクリ</t>
    </rPh>
    <phoneticPr fontId="7"/>
  </si>
  <si>
    <t>毎3秒に1閃光</t>
    <rPh sb="0" eb="1">
      <t>マイ</t>
    </rPh>
    <rPh sb="2" eb="3">
      <t>ビョウ</t>
    </rPh>
    <rPh sb="5" eb="7">
      <t>センコウ</t>
    </rPh>
    <phoneticPr fontId="7"/>
  </si>
  <si>
    <t>(太陽電池)</t>
    <phoneticPr fontId="7"/>
  </si>
  <si>
    <t>福井北</t>
    <rPh sb="0" eb="2">
      <t>フクイ</t>
    </rPh>
    <rPh sb="2" eb="3">
      <t>キタ</t>
    </rPh>
    <phoneticPr fontId="7"/>
  </si>
  <si>
    <t>白色塔形</t>
    <rPh sb="0" eb="2">
      <t>ハクショク</t>
    </rPh>
    <rPh sb="2" eb="3">
      <t>トウ</t>
    </rPh>
    <rPh sb="3" eb="4">
      <t>ケイ</t>
    </rPh>
    <phoneticPr fontId="7"/>
  </si>
  <si>
    <t>単明暗緑光</t>
    <rPh sb="0" eb="1">
      <t>タン</t>
    </rPh>
    <rPh sb="1" eb="3">
      <t>メイアン</t>
    </rPh>
    <rPh sb="3" eb="5">
      <t>リョクコウ</t>
    </rPh>
    <phoneticPr fontId="7"/>
  </si>
  <si>
    <t>5.5</t>
    <phoneticPr fontId="7"/>
  </si>
  <si>
    <t>13.96</t>
    <phoneticPr fontId="7"/>
  </si>
  <si>
    <t>16.30</t>
    <phoneticPr fontId="7"/>
  </si>
  <si>
    <t>LED</t>
    <phoneticPr fontId="7"/>
  </si>
  <si>
    <t>昭53.11.16</t>
    <rPh sb="0" eb="1">
      <t>アキラ</t>
    </rPh>
    <phoneticPr fontId="7"/>
  </si>
  <si>
    <t>36°12’02”</t>
    <phoneticPr fontId="7"/>
  </si>
  <si>
    <t>136°07’07”</t>
    <phoneticPr fontId="7"/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</si>
  <si>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7"/>
  </si>
  <si>
    <t>三国</t>
    <rPh sb="0" eb="2">
      <t>ミクニ</t>
    </rPh>
    <phoneticPr fontId="7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</si>
  <si>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7"/>
  </si>
  <si>
    <t>連成不動単閃緑光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7"/>
  </si>
  <si>
    <t>閃光390</t>
    <rPh sb="0" eb="2">
      <t>センコウ</t>
    </rPh>
    <phoneticPr fontId="7"/>
  </si>
  <si>
    <t>7.5</t>
    <phoneticPr fontId="7"/>
  </si>
  <si>
    <t>10.37</t>
    <phoneticPr fontId="7"/>
  </si>
  <si>
    <t>12.43</t>
    <phoneticPr fontId="7"/>
  </si>
  <si>
    <t>蓄電池</t>
    <phoneticPr fontId="7"/>
  </si>
  <si>
    <t>－</t>
    <phoneticPr fontId="7"/>
  </si>
  <si>
    <t>LED</t>
    <phoneticPr fontId="7"/>
  </si>
  <si>
    <t>-</t>
    <phoneticPr fontId="7"/>
  </si>
  <si>
    <t>昭46.3.29</t>
    <rPh sb="0" eb="1">
      <t>アキラ</t>
    </rPh>
    <phoneticPr fontId="7"/>
  </si>
  <si>
    <t>36°13’04”</t>
    <phoneticPr fontId="7"/>
  </si>
  <si>
    <t>136°07’38”</t>
    <phoneticPr fontId="7"/>
  </si>
  <si>
    <t>毎4秒に1閃光</t>
    <rPh sb="0" eb="1">
      <t>マイ</t>
    </rPh>
    <rPh sb="2" eb="3">
      <t>ビョウ</t>
    </rPh>
    <rPh sb="5" eb="7">
      <t>センコウ</t>
    </rPh>
    <phoneticPr fontId="7"/>
  </si>
  <si>
    <t>不動　39</t>
    <rPh sb="0" eb="2">
      <t>フドウ</t>
    </rPh>
    <phoneticPr fontId="7"/>
  </si>
  <si>
    <t>4.0</t>
    <phoneticPr fontId="7"/>
  </si>
  <si>
    <t>(太陽電池)</t>
    <phoneticPr fontId="7"/>
  </si>
  <si>
    <t>三国防波堤</t>
    <rPh sb="0" eb="2">
      <t>ミクニ</t>
    </rPh>
    <rPh sb="2" eb="5">
      <t>ボウハテイ</t>
    </rPh>
    <phoneticPr fontId="7"/>
  </si>
  <si>
    <t>不動白光</t>
    <rPh sb="0" eb="2">
      <t>フドウ</t>
    </rPh>
    <rPh sb="2" eb="3">
      <t>シロ</t>
    </rPh>
    <rPh sb="3" eb="4">
      <t>ヒカリ</t>
    </rPh>
    <phoneticPr fontId="7"/>
  </si>
  <si>
    <t>10.27</t>
    <phoneticPr fontId="7"/>
  </si>
  <si>
    <t>購入</t>
    <rPh sb="0" eb="2">
      <t>コウニュウ</t>
    </rPh>
    <phoneticPr fontId="7"/>
  </si>
  <si>
    <t>100V　35W</t>
    <phoneticPr fontId="7"/>
  </si>
  <si>
    <t>南西方照射灯</t>
  </si>
  <si>
    <t>36°13’11”</t>
    <phoneticPr fontId="7"/>
  </si>
  <si>
    <t>136°07’53”</t>
    <phoneticPr fontId="7"/>
  </si>
  <si>
    <t>電力</t>
    <phoneticPr fontId="7"/>
  </si>
  <si>
    <t>雄島灯台</t>
    <rPh sb="0" eb="2">
      <t>オシマ</t>
    </rPh>
    <rPh sb="2" eb="4">
      <t>トウダイ</t>
    </rPh>
    <phoneticPr fontId="7"/>
  </si>
  <si>
    <t>坂井市三国町（雄島）</t>
    <rPh sb="0" eb="3">
      <t>サカイシ</t>
    </rPh>
    <rPh sb="3" eb="6">
      <t>ミクニチョウ</t>
    </rPh>
    <rPh sb="7" eb="9">
      <t>オシマ</t>
    </rPh>
    <phoneticPr fontId="7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</si>
  <si>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7"/>
  </si>
  <si>
    <t>12.0</t>
    <phoneticPr fontId="7"/>
  </si>
  <si>
    <t>10.18</t>
    <phoneticPr fontId="7"/>
  </si>
  <si>
    <t>39.20</t>
    <phoneticPr fontId="7"/>
  </si>
  <si>
    <t>蓄電池</t>
    <rPh sb="0" eb="3">
      <t>チクデンチ</t>
    </rPh>
    <phoneticPr fontId="7"/>
  </si>
  <si>
    <t>昭29.1.26</t>
    <rPh sb="0" eb="1">
      <t>アキラ</t>
    </rPh>
    <phoneticPr fontId="7"/>
  </si>
  <si>
    <t>36°15’04”</t>
    <phoneticPr fontId="7"/>
  </si>
  <si>
    <t>136°07’06”</t>
    <phoneticPr fontId="7"/>
  </si>
  <si>
    <t>毎9秒に2閃光</t>
    <rPh sb="0" eb="1">
      <t>マイ</t>
    </rPh>
    <rPh sb="2" eb="3">
      <t>ビョウ</t>
    </rPh>
    <rPh sb="5" eb="7">
      <t>センコウ</t>
    </rPh>
    <phoneticPr fontId="7"/>
  </si>
  <si>
    <t>（太陽電池）</t>
    <rPh sb="1" eb="3">
      <t>タイヨウ</t>
    </rPh>
    <rPh sb="3" eb="5">
      <t>デンチ</t>
    </rPh>
    <phoneticPr fontId="7"/>
  </si>
  <si>
    <t>資料：敦賀海上保安部</t>
    <rPh sb="0" eb="1">
      <t>シ</t>
    </rPh>
    <rPh sb="1" eb="2">
      <t>リョウ</t>
    </rPh>
    <rPh sb="3" eb="5">
      <t>ツルガ</t>
    </rPh>
    <rPh sb="5" eb="7">
      <t>カイジョウ</t>
    </rPh>
    <rPh sb="7" eb="9">
      <t>ホアン</t>
    </rPh>
    <rPh sb="9" eb="10">
      <t>ブ</t>
    </rPh>
    <phoneticPr fontId="7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</si>
  <si>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7"/>
  </si>
  <si>
    <t>トン数階級別</t>
    <rPh sb="2" eb="3">
      <t>スウ</t>
    </rPh>
    <rPh sb="3" eb="5">
      <t>カイキュウ</t>
    </rPh>
    <rPh sb="5" eb="6">
      <t>ベツ</t>
    </rPh>
    <phoneticPr fontId="7"/>
  </si>
  <si>
    <t>5～1,000トン</t>
    <phoneticPr fontId="7"/>
  </si>
  <si>
    <t>1,000～3,000トン</t>
    <phoneticPr fontId="7"/>
  </si>
  <si>
    <t>3,000～6,000トン</t>
    <phoneticPr fontId="7"/>
  </si>
  <si>
    <t>6,000～10,000トン</t>
    <phoneticPr fontId="7"/>
  </si>
  <si>
    <t>10,000トン～</t>
    <phoneticPr fontId="7"/>
  </si>
  <si>
    <t>隻数</t>
    <rPh sb="0" eb="1">
      <t>セキ</t>
    </rPh>
    <rPh sb="1" eb="2">
      <t>スウ</t>
    </rPh>
    <phoneticPr fontId="7"/>
  </si>
  <si>
    <t>総トン数</t>
    <rPh sb="0" eb="1">
      <t>ソウ</t>
    </rPh>
    <rPh sb="3" eb="4">
      <t>スウ</t>
    </rPh>
    <phoneticPr fontId="7"/>
  </si>
  <si>
    <t>平成10年</t>
    <rPh sb="0" eb="2">
      <t>ヘイセイ</t>
    </rPh>
    <rPh sb="4" eb="5">
      <t>ネン</t>
    </rPh>
    <phoneticPr fontId="7"/>
  </si>
  <si>
    <t>内航</t>
    <rPh sb="0" eb="2">
      <t>ナイコウ</t>
    </rPh>
    <phoneticPr fontId="7"/>
  </si>
  <si>
    <t>外航</t>
    <rPh sb="0" eb="2">
      <t>ガイコウ</t>
    </rPh>
    <phoneticPr fontId="7"/>
  </si>
  <si>
    <t>平成11年</t>
    <rPh sb="0" eb="2">
      <t>ヘイセイ</t>
    </rPh>
    <rPh sb="4" eb="5">
      <t>ネン</t>
    </rPh>
    <phoneticPr fontId="7"/>
  </si>
  <si>
    <t>出典：福井港港湾統計年報</t>
    <rPh sb="0" eb="2">
      <t>シュッテン</t>
    </rPh>
    <rPh sb="3" eb="5">
      <t>フクイ</t>
    </rPh>
    <rPh sb="5" eb="6">
      <t>コウ</t>
    </rPh>
    <rPh sb="6" eb="8">
      <t>コウワン</t>
    </rPh>
    <rPh sb="8" eb="10">
      <t>トウケイ</t>
    </rPh>
    <rPh sb="10" eb="12">
      <t>ネンポウ</t>
    </rPh>
    <phoneticPr fontId="7"/>
  </si>
  <si>
    <t>船種別</t>
    <rPh sb="0" eb="1">
      <t>フネ</t>
    </rPh>
    <rPh sb="1" eb="3">
      <t>シュベツ</t>
    </rPh>
    <phoneticPr fontId="7"/>
  </si>
  <si>
    <t>商船</t>
    <rPh sb="0" eb="2">
      <t>ショウセン</t>
    </rPh>
    <phoneticPr fontId="7"/>
  </si>
  <si>
    <t>漁船</t>
    <rPh sb="0" eb="2">
      <t>ギョセン</t>
    </rPh>
    <phoneticPr fontId="7"/>
  </si>
  <si>
    <t>その他の船舶</t>
    <rPh sb="2" eb="3">
      <t>タ</t>
    </rPh>
    <rPh sb="4" eb="6">
      <t>センパク</t>
    </rPh>
    <phoneticPr fontId="7"/>
  </si>
  <si>
    <t>避難船</t>
    <rPh sb="0" eb="2">
      <t>ヒナン</t>
    </rPh>
    <rPh sb="2" eb="3">
      <t>セン</t>
    </rPh>
    <phoneticPr fontId="7"/>
  </si>
  <si>
    <t>うち外航</t>
    <rPh sb="2" eb="4">
      <t>ガイコウ</t>
    </rPh>
    <phoneticPr fontId="7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</si>
  <si>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7"/>
  </si>
  <si>
    <r>
      <t>各年1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7"/>
  </si>
  <si>
    <t>単位：人</t>
    <rPh sb="0" eb="2">
      <t>タンイ</t>
    </rPh>
    <rPh sb="3" eb="4">
      <t>ヒト</t>
    </rPh>
    <phoneticPr fontId="7"/>
  </si>
  <si>
    <t>総合計</t>
    <rPh sb="0" eb="1">
      <t>ソウ</t>
    </rPh>
    <rPh sb="1" eb="3">
      <t>ゴウケイ</t>
    </rPh>
    <phoneticPr fontId="7"/>
  </si>
  <si>
    <t>区
分</t>
    <rPh sb="0" eb="1">
      <t>ク</t>
    </rPh>
    <rPh sb="2" eb="3">
      <t>ブン</t>
    </rPh>
    <phoneticPr fontId="7"/>
  </si>
  <si>
    <t>男女別計</t>
    <rPh sb="0" eb="2">
      <t>ダンジョ</t>
    </rPh>
    <rPh sb="2" eb="3">
      <t>ベツ</t>
    </rPh>
    <rPh sb="3" eb="4">
      <t>ケイ</t>
    </rPh>
    <phoneticPr fontId="7"/>
  </si>
  <si>
    <t>年齢別</t>
    <rPh sb="0" eb="2">
      <t>ネンレイ</t>
    </rPh>
    <rPh sb="2" eb="3">
      <t>ベツ</t>
    </rPh>
    <phoneticPr fontId="7"/>
  </si>
  <si>
    <t>16～19</t>
    <phoneticPr fontId="7"/>
  </si>
  <si>
    <t>20～24</t>
    <phoneticPr fontId="7"/>
  </si>
  <si>
    <t>25～29</t>
    <phoneticPr fontId="7"/>
  </si>
  <si>
    <t>30～39</t>
    <phoneticPr fontId="7"/>
  </si>
  <si>
    <t>40～49</t>
    <phoneticPr fontId="7"/>
  </si>
  <si>
    <t>50～59</t>
    <phoneticPr fontId="7"/>
  </si>
  <si>
    <t>60～64</t>
    <phoneticPr fontId="7"/>
  </si>
  <si>
    <t>65～69</t>
    <phoneticPr fontId="7"/>
  </si>
  <si>
    <t>70～74</t>
    <phoneticPr fontId="7"/>
  </si>
  <si>
    <t>75以上</t>
    <rPh sb="2" eb="4">
      <t>イジョウ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</si>
  <si>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</si>
  <si>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</si>
  <si>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出典：福井の交通</t>
    <rPh sb="0" eb="2">
      <t>シュッテン</t>
    </rPh>
    <rPh sb="3" eb="5">
      <t>フクイ</t>
    </rPh>
    <rPh sb="6" eb="8">
      <t>コウツウ</t>
    </rPh>
    <phoneticPr fontId="7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</si>
  <si>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7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</si>
  <si>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color theme="1"/>
        <rFont val="ＭＳ Ｐゴシック"/>
        <family val="2"/>
        <charset val="128"/>
        <scheme val="minor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7"/>
  </si>
  <si>
    <t>単位：台</t>
    <rPh sb="0" eb="2">
      <t>タンイ</t>
    </rPh>
    <rPh sb="3" eb="4">
      <t>ダイ</t>
    </rPh>
    <phoneticPr fontId="7"/>
  </si>
  <si>
    <t>総計</t>
    <rPh sb="0" eb="1">
      <t>フサ</t>
    </rPh>
    <rPh sb="1" eb="2">
      <t>ケイ</t>
    </rPh>
    <phoneticPr fontId="7"/>
  </si>
  <si>
    <t>登録車</t>
    <phoneticPr fontId="7"/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</si>
  <si>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7"/>
  </si>
  <si>
    <t>軽</t>
    <rPh sb="0" eb="1">
      <t>ケイ</t>
    </rPh>
    <phoneticPr fontId="7"/>
  </si>
  <si>
    <t>計</t>
    <phoneticPr fontId="7"/>
  </si>
  <si>
    <t>貨物</t>
    <phoneticPr fontId="7"/>
  </si>
  <si>
    <t>乗合</t>
    <phoneticPr fontId="7"/>
  </si>
  <si>
    <t>乗用</t>
    <phoneticPr fontId="7"/>
  </si>
  <si>
    <t>特種(殊)</t>
    <phoneticPr fontId="7"/>
  </si>
  <si>
    <t>二輪</t>
    <rPh sb="0" eb="1">
      <t>ニ</t>
    </rPh>
    <rPh sb="1" eb="2">
      <t>ワ</t>
    </rPh>
    <phoneticPr fontId="7"/>
  </si>
  <si>
    <t>貨物</t>
    <rPh sb="0" eb="1">
      <t>カ</t>
    </rPh>
    <rPh sb="1" eb="2">
      <t>ブツ</t>
    </rPh>
    <phoneticPr fontId="7"/>
  </si>
  <si>
    <t>乗用</t>
    <rPh sb="0" eb="1">
      <t>ジョウ</t>
    </rPh>
    <rPh sb="1" eb="2">
      <t>ヨウ</t>
    </rPh>
    <phoneticPr fontId="7"/>
  </si>
  <si>
    <t>特殊
用途用</t>
    <rPh sb="0" eb="2">
      <t>トクシュ</t>
    </rPh>
    <rPh sb="3" eb="5">
      <t>ヨウト</t>
    </rPh>
    <rPh sb="5" eb="6">
      <t>ヨウ</t>
    </rPh>
    <phoneticPr fontId="7"/>
  </si>
  <si>
    <t>普通</t>
    <phoneticPr fontId="7"/>
  </si>
  <si>
    <t>小型</t>
    <phoneticPr fontId="7"/>
  </si>
  <si>
    <t>被けん引</t>
    <phoneticPr fontId="7"/>
  </si>
  <si>
    <t>特殊
用途</t>
    <phoneticPr fontId="7"/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</si>
  <si>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7"/>
  </si>
  <si>
    <t>資料：中部運輸局福井運輸支局</t>
    <rPh sb="0" eb="1">
      <t>シ</t>
    </rPh>
    <rPh sb="1" eb="2">
      <t>リョウ</t>
    </rPh>
    <rPh sb="3" eb="5">
      <t>チュウブ</t>
    </rPh>
    <rPh sb="5" eb="7">
      <t>ウンユ</t>
    </rPh>
    <rPh sb="7" eb="8">
      <t>キョク</t>
    </rPh>
    <rPh sb="8" eb="10">
      <t>フクイ</t>
    </rPh>
    <rPh sb="10" eb="12">
      <t>ウンユ</t>
    </rPh>
    <rPh sb="12" eb="14">
      <t>シキョク</t>
    </rPh>
    <phoneticPr fontId="7"/>
  </si>
  <si>
    <t>O-6．コミュニティバス利用状況</t>
    <rPh sb="12" eb="14">
      <t>リヨウ</t>
    </rPh>
    <rPh sb="14" eb="16">
      <t>ジョウキョウ</t>
    </rPh>
    <phoneticPr fontId="7"/>
  </si>
  <si>
    <t>単位：人</t>
    <rPh sb="0" eb="2">
      <t>タンイ</t>
    </rPh>
    <rPh sb="3" eb="4">
      <t>ニン</t>
    </rPh>
    <phoneticPr fontId="7"/>
  </si>
  <si>
    <t>区分</t>
    <rPh sb="0" eb="2">
      <t>クブン</t>
    </rPh>
    <phoneticPr fontId="7"/>
  </si>
  <si>
    <t>コミュニティバス利用者数</t>
    <rPh sb="8" eb="11">
      <t>リヨウシャ</t>
    </rPh>
    <rPh sb="11" eb="12">
      <t>スウ</t>
    </rPh>
    <phoneticPr fontId="7"/>
  </si>
  <si>
    <t>基幹ルート</t>
    <rPh sb="0" eb="2">
      <t>キカン</t>
    </rPh>
    <phoneticPr fontId="7"/>
  </si>
  <si>
    <r>
      <rPr>
        <sz val="9"/>
        <rFont val="ＭＳ Ｐゴシック"/>
        <family val="3"/>
        <charset val="128"/>
      </rPr>
      <t>接続ルート</t>
    </r>
    <rPh sb="0" eb="2">
      <t>セツゾク</t>
    </rPh>
    <phoneticPr fontId="7"/>
  </si>
  <si>
    <t>合計</t>
    <phoneticPr fontId="7"/>
  </si>
  <si>
    <t>計</t>
    <rPh sb="0" eb="1">
      <t>ケイ</t>
    </rPh>
    <phoneticPr fontId="7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</si>
  <si>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7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</si>
  <si>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7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</si>
  <si>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7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</si>
  <si>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7"/>
  </si>
  <si>
    <t xml:space="preserve"> 雄     島　</t>
    <rPh sb="1" eb="2">
      <t>オス</t>
    </rPh>
    <rPh sb="7" eb="8">
      <t>シマ</t>
    </rPh>
    <phoneticPr fontId="7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</si>
  <si>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7"/>
  </si>
  <si>
    <t xml:space="preserve"> （旧）三国東部 </t>
    <rPh sb="2" eb="3">
      <t>キュウ</t>
    </rPh>
    <phoneticPr fontId="7"/>
  </si>
  <si>
    <t xml:space="preserve"> 浜  四  郷</t>
    <phoneticPr fontId="7"/>
  </si>
  <si>
    <t xml:space="preserve"> 坂     井　</t>
    <rPh sb="1" eb="2">
      <t>サカ</t>
    </rPh>
    <rPh sb="7" eb="8">
      <t>イ</t>
    </rPh>
    <phoneticPr fontId="7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</si>
  <si>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7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</si>
  <si>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7"/>
  </si>
  <si>
    <t xml:space="preserve"> 春江西部中部</t>
    <rPh sb="1" eb="3">
      <t>ハルエ</t>
    </rPh>
    <rPh sb="3" eb="5">
      <t>セイブ</t>
    </rPh>
    <rPh sb="5" eb="7">
      <t>チュウブ</t>
    </rPh>
    <phoneticPr fontId="7"/>
  </si>
  <si>
    <t xml:space="preserve"> 長     畝</t>
    <rPh sb="1" eb="2">
      <t>ナガ</t>
    </rPh>
    <rPh sb="7" eb="8">
      <t>ウネ</t>
    </rPh>
    <phoneticPr fontId="7"/>
  </si>
  <si>
    <t xml:space="preserve"> 高  椋  西</t>
    <rPh sb="1" eb="2">
      <t>コウ</t>
    </rPh>
    <rPh sb="4" eb="5">
      <t>ムク</t>
    </rPh>
    <rPh sb="7" eb="8">
      <t>ニシ</t>
    </rPh>
    <phoneticPr fontId="7"/>
  </si>
  <si>
    <t xml:space="preserve"> 高  椋  中</t>
    <rPh sb="1" eb="2">
      <t>コウ</t>
    </rPh>
    <rPh sb="4" eb="5">
      <t>ムク</t>
    </rPh>
    <rPh sb="7" eb="8">
      <t>チュウ</t>
    </rPh>
    <phoneticPr fontId="7"/>
  </si>
  <si>
    <t xml:space="preserve"> 鳴     鹿</t>
    <rPh sb="1" eb="2">
      <t>ナ</t>
    </rPh>
    <rPh sb="7" eb="8">
      <t>シカ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</si>
  <si>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</si>
  <si>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</si>
  <si>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</si>
  <si>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</si>
  <si>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</si>
  <si>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</si>
  <si>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</si>
  <si>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-</t>
    <phoneticPr fontId="7"/>
  </si>
  <si>
    <t>※平成21年度の接続ルートはH21.9月～H22.3月分</t>
    <rPh sb="1" eb="3">
      <t>ヘイセイ</t>
    </rPh>
    <rPh sb="5" eb="7">
      <t>ネンド</t>
    </rPh>
    <rPh sb="8" eb="10">
      <t>セツゾク</t>
    </rPh>
    <rPh sb="19" eb="20">
      <t>ガツ</t>
    </rPh>
    <rPh sb="26" eb="27">
      <t>ガツ</t>
    </rPh>
    <rPh sb="27" eb="28">
      <t>ブン</t>
    </rPh>
    <phoneticPr fontId="7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</si>
  <si>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7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</si>
  <si>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20"/>
  </si>
  <si>
    <t>単位：人</t>
    <rPh sb="0" eb="2">
      <t>タンイ</t>
    </rPh>
    <rPh sb="3" eb="4">
      <t>ヒト</t>
    </rPh>
    <phoneticPr fontId="20"/>
  </si>
  <si>
    <t>年度</t>
    <rPh sb="0" eb="2">
      <t>ネンド</t>
    </rPh>
    <phoneticPr fontId="7"/>
  </si>
  <si>
    <t>駅名称</t>
    <rPh sb="0" eb="1">
      <t>エキ</t>
    </rPh>
    <rPh sb="1" eb="3">
      <t>メイショウ</t>
    </rPh>
    <phoneticPr fontId="7"/>
  </si>
  <si>
    <t>三国港</t>
    <rPh sb="0" eb="2">
      <t>ミクニ</t>
    </rPh>
    <rPh sb="2" eb="3">
      <t>ミナト</t>
    </rPh>
    <phoneticPr fontId="7"/>
  </si>
  <si>
    <t>三国神社</t>
    <rPh sb="0" eb="2">
      <t>ミクニ</t>
    </rPh>
    <rPh sb="2" eb="4">
      <t>ジンジャ</t>
    </rPh>
    <phoneticPr fontId="7"/>
  </si>
  <si>
    <t>水居</t>
    <rPh sb="0" eb="2">
      <t>ミズイ</t>
    </rPh>
    <phoneticPr fontId="7"/>
  </si>
  <si>
    <t>大関</t>
    <rPh sb="0" eb="2">
      <t>オオゼキ</t>
    </rPh>
    <phoneticPr fontId="7"/>
  </si>
  <si>
    <t>下兵庫</t>
    <rPh sb="0" eb="3">
      <t>シモヒョウゴ</t>
    </rPh>
    <phoneticPr fontId="7"/>
  </si>
  <si>
    <t>西長田</t>
    <rPh sb="0" eb="1">
      <t>ニシ</t>
    </rPh>
    <rPh sb="1" eb="3">
      <t>ナガタ</t>
    </rPh>
    <phoneticPr fontId="7"/>
  </si>
  <si>
    <t>西春江</t>
    <rPh sb="0" eb="1">
      <t>ニシ</t>
    </rPh>
    <rPh sb="1" eb="2">
      <t>ハル</t>
    </rPh>
    <rPh sb="2" eb="3">
      <t>エ</t>
    </rPh>
    <phoneticPr fontId="7"/>
  </si>
  <si>
    <t>太郎丸</t>
    <rPh sb="0" eb="3">
      <t>タロウマル</t>
    </rPh>
    <phoneticPr fontId="7"/>
  </si>
  <si>
    <t>平成15年度</t>
  </si>
  <si>
    <t>平成16年度</t>
  </si>
  <si>
    <t>平成17年度</t>
  </si>
  <si>
    <t>平成18年度</t>
    <phoneticPr fontId="7"/>
  </si>
  <si>
    <t>平成19年度</t>
    <phoneticPr fontId="7"/>
  </si>
  <si>
    <t>平成20年度</t>
    <phoneticPr fontId="7"/>
  </si>
  <si>
    <t>平成21年度</t>
    <phoneticPr fontId="7"/>
  </si>
  <si>
    <t>平成22年度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</si>
  <si>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</si>
  <si>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</si>
  <si>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</si>
  <si>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</si>
  <si>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</si>
  <si>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資料：えちぜん鉄道㈱</t>
    <rPh sb="0" eb="2">
      <t>シリョウ</t>
    </rPh>
    <rPh sb="7" eb="9">
      <t>テツドウ</t>
    </rPh>
    <phoneticPr fontId="20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</si>
  <si>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7"/>
  </si>
  <si>
    <t>駅名</t>
    <rPh sb="0" eb="2">
      <t>エキメイ</t>
    </rPh>
    <phoneticPr fontId="7"/>
  </si>
  <si>
    <t>丸岡</t>
    <rPh sb="0" eb="2">
      <t>マルオカ</t>
    </rPh>
    <phoneticPr fontId="7"/>
  </si>
  <si>
    <t>春江</t>
    <rPh sb="0" eb="1">
      <t>ハル</t>
    </rPh>
    <rPh sb="1" eb="2">
      <t>エ</t>
    </rPh>
    <phoneticPr fontId="7"/>
  </si>
  <si>
    <t>旅客</t>
    <rPh sb="0" eb="2">
      <t>リョキャク</t>
    </rPh>
    <phoneticPr fontId="7"/>
  </si>
  <si>
    <t>貨物</t>
    <rPh sb="0" eb="2">
      <t>カモツ</t>
    </rPh>
    <phoneticPr fontId="7"/>
  </si>
  <si>
    <t>総数</t>
    <rPh sb="0" eb="2">
      <t>ソウスウ</t>
    </rPh>
    <phoneticPr fontId="7"/>
  </si>
  <si>
    <t>定期外</t>
    <rPh sb="0" eb="2">
      <t>テイキ</t>
    </rPh>
    <rPh sb="2" eb="3">
      <t>ソト</t>
    </rPh>
    <phoneticPr fontId="7"/>
  </si>
  <si>
    <t>定期</t>
    <rPh sb="0" eb="2">
      <t>テイキ</t>
    </rPh>
    <phoneticPr fontId="7"/>
  </si>
  <si>
    <t>発送ﾄﾝ数</t>
    <rPh sb="0" eb="2">
      <t>ハッソウ</t>
    </rPh>
    <rPh sb="4" eb="5">
      <t>スウ</t>
    </rPh>
    <phoneticPr fontId="7"/>
  </si>
  <si>
    <t>到着ﾄﾝ数</t>
    <rPh sb="0" eb="2">
      <t>トウチャク</t>
    </rPh>
    <rPh sb="4" eb="5">
      <t>スウ</t>
    </rPh>
    <phoneticPr fontId="7"/>
  </si>
  <si>
    <t>貨物収入</t>
    <rPh sb="0" eb="2">
      <t>カモツ</t>
    </rPh>
    <rPh sb="2" eb="4">
      <t>シュウニュウ</t>
    </rPh>
    <phoneticPr fontId="7"/>
  </si>
  <si>
    <t>（人）</t>
    <phoneticPr fontId="7"/>
  </si>
  <si>
    <t>　（人）</t>
    <phoneticPr fontId="7"/>
  </si>
  <si>
    <t>（ｔ）</t>
  </si>
  <si>
    <t>（ｔ）</t>
    <phoneticPr fontId="7"/>
  </si>
  <si>
    <t>（円）</t>
    <phoneticPr fontId="7"/>
  </si>
  <si>
    <t>平成10年度</t>
    <rPh sb="0" eb="2">
      <t>ヘイセイ</t>
    </rPh>
    <rPh sb="4" eb="6">
      <t>ネンド</t>
    </rPh>
    <phoneticPr fontId="7"/>
  </si>
  <si>
    <t>－</t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</si>
  <si>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</si>
  <si>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</si>
  <si>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</si>
  <si>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</si>
  <si>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</si>
  <si>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</si>
  <si>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</si>
  <si>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</si>
  <si>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</si>
  <si>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</si>
  <si>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</si>
  <si>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資料：西日本旅客鉄道㈱・日本貨物鉄道㈱</t>
    <rPh sb="0" eb="2">
      <t>シリョウ</t>
    </rPh>
    <rPh sb="3" eb="4">
      <t>ニシ</t>
    </rPh>
    <rPh sb="4" eb="6">
      <t>ニホン</t>
    </rPh>
    <rPh sb="6" eb="8">
      <t>リョカク</t>
    </rPh>
    <rPh sb="8" eb="10">
      <t>テツドウ</t>
    </rPh>
    <rPh sb="12" eb="14">
      <t>ニホン</t>
    </rPh>
    <rPh sb="14" eb="16">
      <t>カモツ</t>
    </rPh>
    <rPh sb="16" eb="18">
      <t>テツドウ</t>
    </rPh>
    <phoneticPr fontId="7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</si>
  <si>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7"/>
  </si>
  <si>
    <t>金津IC</t>
    <rPh sb="0" eb="2">
      <t>カナヅ</t>
    </rPh>
    <phoneticPr fontId="7"/>
  </si>
  <si>
    <t>丸岡IC</t>
    <rPh sb="0" eb="2">
      <t>マルオカ</t>
    </rPh>
    <phoneticPr fontId="7"/>
  </si>
  <si>
    <t>福井北IC</t>
    <rPh sb="0" eb="2">
      <t>フクイ</t>
    </rPh>
    <rPh sb="2" eb="3">
      <t>キタ</t>
    </rPh>
    <phoneticPr fontId="7"/>
  </si>
  <si>
    <t>福井IC</t>
    <rPh sb="0" eb="2">
      <t>フクイ</t>
    </rPh>
    <phoneticPr fontId="7"/>
  </si>
  <si>
    <t>鯖江IC</t>
    <rPh sb="0" eb="2">
      <t>サバエ</t>
    </rPh>
    <phoneticPr fontId="7"/>
  </si>
  <si>
    <t>武生IC</t>
    <rPh sb="0" eb="2">
      <t>タケフ</t>
    </rPh>
    <phoneticPr fontId="7"/>
  </si>
  <si>
    <t>南条
スマートＩＣ</t>
    <rPh sb="0" eb="2">
      <t>ナンジョウ</t>
    </rPh>
    <phoneticPr fontId="7"/>
  </si>
  <si>
    <t>今庄IC</t>
    <rPh sb="0" eb="2">
      <t>イマジョウ</t>
    </rPh>
    <phoneticPr fontId="7"/>
  </si>
  <si>
    <t>敦賀IC</t>
    <rPh sb="0" eb="2">
      <t>ツルガ</t>
    </rPh>
    <phoneticPr fontId="7"/>
  </si>
  <si>
    <t>平成10年度</t>
    <rPh sb="0" eb="2">
      <t>ヘイセイ</t>
    </rPh>
    <rPh sb="4" eb="5">
      <t>ネン</t>
    </rPh>
    <rPh sb="5" eb="6">
      <t>ド</t>
    </rPh>
    <phoneticPr fontId="7"/>
  </si>
  <si>
    <t>入口</t>
    <rPh sb="0" eb="2">
      <t>イリグチ</t>
    </rPh>
    <phoneticPr fontId="7"/>
  </si>
  <si>
    <t>出口</t>
    <rPh sb="0" eb="2">
      <t>デグチ</t>
    </rPh>
    <phoneticPr fontId="7"/>
  </si>
  <si>
    <t>－</t>
    <phoneticPr fontId="7"/>
  </si>
  <si>
    <t>平成11年度</t>
    <rPh sb="0" eb="2">
      <t>ヘイセイ</t>
    </rPh>
    <rPh sb="4" eb="5">
      <t>ネン</t>
    </rPh>
    <rPh sb="5" eb="6">
      <t>ド</t>
    </rPh>
    <phoneticPr fontId="7"/>
  </si>
  <si>
    <t>平成12年度</t>
    <rPh sb="0" eb="2">
      <t>ヘイセイ</t>
    </rPh>
    <rPh sb="4" eb="5">
      <t>ネン</t>
    </rPh>
    <rPh sb="5" eb="6">
      <t>ド</t>
    </rPh>
    <phoneticPr fontId="7"/>
  </si>
  <si>
    <t>平成13年度</t>
    <rPh sb="0" eb="2">
      <t>ヘイセイ</t>
    </rPh>
    <rPh sb="4" eb="5">
      <t>ネン</t>
    </rPh>
    <rPh sb="5" eb="6">
      <t>ド</t>
    </rPh>
    <phoneticPr fontId="7"/>
  </si>
  <si>
    <t>平成14年度</t>
    <rPh sb="0" eb="2">
      <t>ヘイセイ</t>
    </rPh>
    <rPh sb="4" eb="5">
      <t>ネン</t>
    </rPh>
    <rPh sb="5" eb="6">
      <t>ド</t>
    </rPh>
    <phoneticPr fontId="7"/>
  </si>
  <si>
    <t>平成15年度</t>
    <rPh sb="0" eb="2">
      <t>ヘイセイ</t>
    </rPh>
    <rPh sb="4" eb="5">
      <t>ネン</t>
    </rPh>
    <rPh sb="5" eb="6">
      <t>ド</t>
    </rPh>
    <phoneticPr fontId="7"/>
  </si>
  <si>
    <t>平成16年度</t>
    <rPh sb="0" eb="2">
      <t>ヘイセイ</t>
    </rPh>
    <rPh sb="4" eb="5">
      <t>ネン</t>
    </rPh>
    <rPh sb="5" eb="6">
      <t>ド</t>
    </rPh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</si>
  <si>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</si>
  <si>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</si>
  <si>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</si>
  <si>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</si>
  <si>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</si>
  <si>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</si>
  <si>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</si>
  <si>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</si>
  <si>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</si>
  <si>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0" eb="2">
      <t>ヘイセイ</t>
    </rPh>
    <rPh sb="4" eb="5">
      <t>ネン</t>
    </rPh>
    <rPh sb="5" eb="6">
      <t>ド</t>
    </rPh>
    <phoneticPr fontId="7"/>
  </si>
  <si>
    <t>※平成19年度から、入口・出口を合計した数字を掲載</t>
    <rPh sb="6" eb="7">
      <t>ド</t>
    </rPh>
    <phoneticPr fontId="7"/>
  </si>
  <si>
    <t>資料：中日本高速道路㈱　金沢支社</t>
    <rPh sb="0" eb="1">
      <t>シ</t>
    </rPh>
    <rPh sb="1" eb="2">
      <t>リョウ</t>
    </rPh>
    <rPh sb="3" eb="6">
      <t>ナカニホン</t>
    </rPh>
    <rPh sb="6" eb="8">
      <t>コウソク</t>
    </rPh>
    <rPh sb="8" eb="10">
      <t>ドウロ</t>
    </rPh>
    <rPh sb="12" eb="14">
      <t>カナザワ</t>
    </rPh>
    <rPh sb="14" eb="16">
      <t>シシャ</t>
    </rPh>
    <phoneticPr fontId="7"/>
  </si>
  <si>
    <t>O-2．主要地方道・一般県道の状況</t>
    <rPh sb="10" eb="12">
      <t>イッパン</t>
    </rPh>
    <rPh sb="15" eb="17">
      <t>ジョウキョウ</t>
    </rPh>
    <phoneticPr fontId="7"/>
  </si>
  <si>
    <r>
      <t>平成28</t>
    </r>
    <r>
      <rPr>
        <sz val="11"/>
        <rFont val="ＭＳ Ｐゴシック"/>
        <family val="3"/>
        <charset val="128"/>
      </rPr>
      <t>年4月1日現在</t>
    </r>
    <rPh sb="0" eb="1">
      <t>ヘイセイ</t>
    </rPh>
    <rPh sb="5" eb="6">
      <t>ガツ</t>
    </rPh>
    <rPh sb="7" eb="8">
      <t>ニチ</t>
    </rPh>
    <rPh sb="8" eb="10">
      <t>ゲンザイ</t>
    </rPh>
    <phoneticPr fontId="7"/>
  </si>
  <si>
    <t>単位：ｍ</t>
  </si>
  <si>
    <t>種類</t>
  </si>
  <si>
    <t>路線
番号</t>
    <phoneticPr fontId="7"/>
  </si>
  <si>
    <t>路線名</t>
  </si>
  <si>
    <t>起点</t>
    <phoneticPr fontId="23"/>
  </si>
  <si>
    <t>終点</t>
    <phoneticPr fontId="23"/>
  </si>
  <si>
    <t>路線</t>
    <phoneticPr fontId="7"/>
  </si>
  <si>
    <t>市域内</t>
    <phoneticPr fontId="7"/>
  </si>
  <si>
    <t>総延長</t>
    <rPh sb="0" eb="3">
      <t>ソウエンチョウ</t>
    </rPh>
    <phoneticPr fontId="7"/>
  </si>
  <si>
    <t>実延長</t>
    <rPh sb="0" eb="1">
      <t>ジツ</t>
    </rPh>
    <rPh sb="1" eb="3">
      <t>エンチョウ</t>
    </rPh>
    <phoneticPr fontId="7"/>
  </si>
  <si>
    <t>実延長</t>
    <phoneticPr fontId="7"/>
  </si>
  <si>
    <t>舗装済
延長</t>
    <rPh sb="0" eb="2">
      <t>ホソウ</t>
    </rPh>
    <rPh sb="2" eb="3">
      <t>スミ</t>
    </rPh>
    <rPh sb="4" eb="6">
      <t>エンチョウ</t>
    </rPh>
    <phoneticPr fontId="7"/>
  </si>
  <si>
    <t>改良済
延長</t>
    <rPh sb="0" eb="2">
      <t>カイリョウ</t>
    </rPh>
    <rPh sb="2" eb="3">
      <t>スミ</t>
    </rPh>
    <rPh sb="4" eb="6">
      <t>エンチョウ</t>
    </rPh>
    <phoneticPr fontId="7"/>
  </si>
  <si>
    <t>８号</t>
    <phoneticPr fontId="7"/>
  </si>
  <si>
    <t>新潟県新潟市</t>
    <rPh sb="0" eb="3">
      <t>ニイガタケン</t>
    </rPh>
    <rPh sb="3" eb="6">
      <t>ニイガタシ</t>
    </rPh>
    <phoneticPr fontId="7"/>
  </si>
  <si>
    <t>京都府京都市</t>
    <rPh sb="0" eb="3">
      <t>キョウトフ</t>
    </rPh>
    <rPh sb="3" eb="6">
      <t>キョウトシ</t>
    </rPh>
    <phoneticPr fontId="7"/>
  </si>
  <si>
    <t>一般国道</t>
  </si>
  <si>
    <t>３０５号</t>
  </si>
  <si>
    <t>石川県金沢市</t>
    <rPh sb="0" eb="3">
      <t>イシカワケン</t>
    </rPh>
    <rPh sb="3" eb="6">
      <t>カナザワシ</t>
    </rPh>
    <phoneticPr fontId="7"/>
  </si>
  <si>
    <t>南条郡南越前町</t>
    <rPh sb="0" eb="3">
      <t>ナンジョウグン</t>
    </rPh>
    <rPh sb="3" eb="4">
      <t>ミナミ</t>
    </rPh>
    <rPh sb="4" eb="7">
      <t>エチゼンチョウ</t>
    </rPh>
    <phoneticPr fontId="7"/>
  </si>
  <si>
    <t>３６４号</t>
  </si>
  <si>
    <t>福井県大野市</t>
    <rPh sb="0" eb="3">
      <t>フクイケン</t>
    </rPh>
    <rPh sb="3" eb="6">
      <t>オオノシ</t>
    </rPh>
    <phoneticPr fontId="7"/>
  </si>
  <si>
    <t>石川県加賀市</t>
    <rPh sb="0" eb="3">
      <t>イシカワケン</t>
    </rPh>
    <rPh sb="3" eb="6">
      <t>カガシ</t>
    </rPh>
    <phoneticPr fontId="7"/>
  </si>
  <si>
    <t>主要
地方道</t>
    <phoneticPr fontId="7"/>
  </si>
  <si>
    <t>福井加賀線</t>
  </si>
  <si>
    <t>福井市淵上町</t>
  </si>
  <si>
    <t>三国東尋坊芦原線</t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</si>
  <si>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7"/>
  </si>
  <si>
    <t>あわら市舟津</t>
    <rPh sb="3" eb="4">
      <t>シ</t>
    </rPh>
    <rPh sb="4" eb="5">
      <t>フネ</t>
    </rPh>
    <rPh sb="5" eb="6">
      <t>ツ</t>
    </rPh>
    <phoneticPr fontId="23"/>
  </si>
  <si>
    <t>芦原丸岡線</t>
  </si>
  <si>
    <t>あわら市温泉３丁目</t>
    <rPh sb="3" eb="4">
      <t>シ</t>
    </rPh>
    <phoneticPr fontId="23"/>
  </si>
  <si>
    <t>坂井市丸岡町朝陽2丁目</t>
    <rPh sb="2" eb="3">
      <t>シ</t>
    </rPh>
    <rPh sb="3" eb="6">
      <t>マルオカチョウ</t>
    </rPh>
    <phoneticPr fontId="7"/>
  </si>
  <si>
    <t>丸岡川西線</t>
  </si>
  <si>
    <t>坂井市丸岡町山口</t>
    <rPh sb="2" eb="3">
      <t>シ</t>
    </rPh>
    <phoneticPr fontId="7"/>
  </si>
  <si>
    <t>福井市佐野町</t>
  </si>
  <si>
    <t>勝山丸岡線</t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</si>
  <si>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7"/>
  </si>
  <si>
    <t>坂井市丸岡町朝陽1丁目</t>
    <rPh sb="2" eb="3">
      <t>シ</t>
    </rPh>
    <rPh sb="3" eb="6">
      <t>マルオカチョウ</t>
    </rPh>
    <phoneticPr fontId="7"/>
  </si>
  <si>
    <t>三国春江線</t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</si>
  <si>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7"/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</si>
  <si>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7"/>
  </si>
  <si>
    <t>福井金津線</t>
  </si>
  <si>
    <t>福井市天池町</t>
  </si>
  <si>
    <t>あわら市吉崎</t>
    <rPh sb="3" eb="4">
      <t>シ</t>
    </rPh>
    <phoneticPr fontId="23"/>
  </si>
  <si>
    <t>福井丸岡線</t>
  </si>
  <si>
    <t>福井市順化1丁目</t>
    <rPh sb="0" eb="3">
      <t>フクイシ</t>
    </rPh>
    <rPh sb="3" eb="5">
      <t>ジュンカ</t>
    </rPh>
    <rPh sb="6" eb="8">
      <t>チョウメ</t>
    </rPh>
    <phoneticPr fontId="7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</si>
  <si>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7"/>
  </si>
  <si>
    <t>丸岡インター線</t>
  </si>
  <si>
    <t>丸岡インター</t>
    <rPh sb="0" eb="2">
      <t>マルオカ</t>
    </rPh>
    <phoneticPr fontId="7"/>
  </si>
  <si>
    <t>一般県道</t>
  </si>
  <si>
    <t>三国金津線</t>
  </si>
  <si>
    <t>あわら市六日</t>
    <rPh sb="3" eb="4">
      <t>シ</t>
    </rPh>
    <rPh sb="4" eb="6">
      <t>ムイカ</t>
    </rPh>
    <phoneticPr fontId="7"/>
  </si>
  <si>
    <t>春江川西線</t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</si>
  <si>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7"/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</si>
  <si>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7"/>
  </si>
  <si>
    <t>福井三国線</t>
  </si>
  <si>
    <t>福井市三ツ屋町</t>
  </si>
  <si>
    <t>坂井市三国町岩崎</t>
    <rPh sb="2" eb="3">
      <t>シ</t>
    </rPh>
    <phoneticPr fontId="7"/>
  </si>
  <si>
    <t>三国丸岡停車場線</t>
  </si>
  <si>
    <t>坂井市三国町山王５丁目</t>
  </si>
  <si>
    <t>丸岡停車場</t>
  </si>
  <si>
    <t>春江丸岡線</t>
  </si>
  <si>
    <t>坂井市春江町江留中</t>
  </si>
  <si>
    <t>坂井市丸岡町本町３丁目</t>
  </si>
  <si>
    <t>南横地芦原線</t>
  </si>
  <si>
    <t>坂井市丸岡町南横地</t>
  </si>
  <si>
    <t>あわら市下番</t>
    <rPh sb="3" eb="4">
      <t>シ</t>
    </rPh>
    <phoneticPr fontId="23"/>
  </si>
  <si>
    <t>中川松岡線</t>
  </si>
  <si>
    <t>あわら市中川</t>
    <rPh sb="3" eb="4">
      <t>シ</t>
    </rPh>
    <rPh sb="4" eb="6">
      <t>ナカガワ</t>
    </rPh>
    <phoneticPr fontId="23"/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</si>
  <si>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7"/>
  </si>
  <si>
    <t>栃神谷鳴鹿森田線</t>
  </si>
  <si>
    <t>勝山市村岡町栃神谷</t>
    <rPh sb="0" eb="3">
      <t>カツヤマシ</t>
    </rPh>
    <rPh sb="3" eb="6">
      <t>ムラオカチョウ</t>
    </rPh>
    <rPh sb="6" eb="9">
      <t>トチガミヤ</t>
    </rPh>
    <phoneticPr fontId="7"/>
  </si>
  <si>
    <t>福井市栄町</t>
    <rPh sb="0" eb="3">
      <t>フクイシ</t>
    </rPh>
    <rPh sb="3" eb="4">
      <t>サカエ</t>
    </rPh>
    <rPh sb="4" eb="5">
      <t>マチ</t>
    </rPh>
    <phoneticPr fontId="7"/>
  </si>
  <si>
    <t>三国停車場線</t>
  </si>
  <si>
    <t>三国停車場</t>
    <rPh sb="0" eb="2">
      <t>ミクニ</t>
    </rPh>
    <rPh sb="2" eb="4">
      <t>テイシャ</t>
    </rPh>
    <rPh sb="4" eb="5">
      <t>バ</t>
    </rPh>
    <phoneticPr fontId="7"/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</si>
  <si>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7"/>
  </si>
  <si>
    <t>瓜生今福線</t>
  </si>
  <si>
    <t>あわら市瓜生</t>
    <rPh sb="3" eb="4">
      <t>シ</t>
    </rPh>
    <rPh sb="4" eb="6">
      <t>ウリュウ</t>
    </rPh>
    <phoneticPr fontId="7"/>
  </si>
  <si>
    <t>加戸三国線</t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</si>
  <si>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7"/>
  </si>
  <si>
    <t>坂井市三国町錦</t>
    <rPh sb="3" eb="6">
      <t>ミクニチョウ</t>
    </rPh>
    <rPh sb="6" eb="7">
      <t>ニシキ</t>
    </rPh>
    <phoneticPr fontId="7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</si>
  <si>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7"/>
  </si>
  <si>
    <t>あわら市波松</t>
    <rPh sb="3" eb="4">
      <t>シ</t>
    </rPh>
    <rPh sb="4" eb="5">
      <t>ナミ</t>
    </rPh>
    <rPh sb="5" eb="6">
      <t>マツ</t>
    </rPh>
    <phoneticPr fontId="7"/>
  </si>
  <si>
    <t>高柳矢地線</t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</si>
  <si>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23"/>
  </si>
  <si>
    <t>あわら市矢地</t>
    <rPh sb="3" eb="4">
      <t>シ</t>
    </rPh>
    <rPh sb="4" eb="5">
      <t>ヤ</t>
    </rPh>
    <rPh sb="5" eb="6">
      <t>チ</t>
    </rPh>
    <phoneticPr fontId="23"/>
  </si>
  <si>
    <t>八幡横越線</t>
  </si>
  <si>
    <t>福井市八幡</t>
    <rPh sb="0" eb="3">
      <t>フクイシ</t>
    </rPh>
    <rPh sb="3" eb="5">
      <t>ハチマン</t>
    </rPh>
    <phoneticPr fontId="7"/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</si>
  <si>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7"/>
  </si>
  <si>
    <t>佐野山岸線</t>
  </si>
  <si>
    <t>福井市佐野町</t>
    <rPh sb="0" eb="3">
      <t>フクイシ</t>
    </rPh>
    <rPh sb="3" eb="6">
      <t>サノチョウ</t>
    </rPh>
    <phoneticPr fontId="7"/>
  </si>
  <si>
    <t>長畑金津線</t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</si>
  <si>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23"/>
  </si>
  <si>
    <t>板倉高江線</t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</si>
  <si>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7"/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</si>
  <si>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7"/>
  </si>
  <si>
    <t>高江針原線</t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</si>
  <si>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7"/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</si>
  <si>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7"/>
  </si>
  <si>
    <t>北潟平山線</t>
  </si>
  <si>
    <t>あわら市北潟</t>
    <rPh sb="3" eb="4">
      <t>シ</t>
    </rPh>
    <rPh sb="4" eb="5">
      <t>キタ</t>
    </rPh>
    <rPh sb="5" eb="6">
      <t>ガタ</t>
    </rPh>
    <phoneticPr fontId="7"/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</si>
  <si>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7"/>
  </si>
  <si>
    <t>磯部島西瓜屋線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</si>
  <si>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7"/>
  </si>
  <si>
    <t>三国停車場桜谷線</t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</si>
  <si>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7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</si>
  <si>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7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</si>
  <si>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7"/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</si>
  <si>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7"/>
  </si>
  <si>
    <t>福井空港線</t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</si>
  <si>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7"/>
  </si>
  <si>
    <t>福井空港</t>
    <rPh sb="0" eb="2">
      <t>フクイ</t>
    </rPh>
    <rPh sb="2" eb="4">
      <t>クウコウ</t>
    </rPh>
    <phoneticPr fontId="7"/>
  </si>
  <si>
    <t>福井港線</t>
  </si>
  <si>
    <t>福井市白方町</t>
    <rPh sb="0" eb="3">
      <t>フクイシ</t>
    </rPh>
    <rPh sb="3" eb="5">
      <t>シラカタ</t>
    </rPh>
    <rPh sb="5" eb="6">
      <t>チョウ</t>
    </rPh>
    <phoneticPr fontId="7"/>
  </si>
  <si>
    <t>坂井金津線</t>
  </si>
  <si>
    <t>あわら市池口</t>
    <rPh sb="3" eb="4">
      <t>シ</t>
    </rPh>
    <rPh sb="4" eb="6">
      <t>イケグチ</t>
    </rPh>
    <phoneticPr fontId="23"/>
  </si>
  <si>
    <t>龍ヶ鼻ダム公園線</t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</si>
  <si>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7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</si>
  <si>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7"/>
  </si>
  <si>
    <t>資料：建設課</t>
    <rPh sb="0" eb="2">
      <t>シリョウ</t>
    </rPh>
    <rPh sb="3" eb="6">
      <t>ケンセツカ</t>
    </rPh>
    <phoneticPr fontId="7"/>
  </si>
  <si>
    <t>出典：道路現況表（福井県土木部道路保全課）</t>
    <phoneticPr fontId="7"/>
  </si>
  <si>
    <t>O-1．道路現況</t>
    <rPh sb="4" eb="6">
      <t>ドウロ</t>
    </rPh>
    <rPh sb="6" eb="8">
      <t>ゲンキョウ</t>
    </rPh>
    <phoneticPr fontId="7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</si>
  <si>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</si>
  <si>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単位：km</t>
    <rPh sb="0" eb="2">
      <t>タンイ</t>
    </rPh>
    <phoneticPr fontId="7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</si>
  <si>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7"/>
  </si>
  <si>
    <t>国道</t>
    <rPh sb="0" eb="2">
      <t>コクドウ</t>
    </rPh>
    <phoneticPr fontId="7"/>
  </si>
  <si>
    <t>県道</t>
    <rPh sb="0" eb="2">
      <t>ケンドウ</t>
    </rPh>
    <phoneticPr fontId="7"/>
  </si>
  <si>
    <t>市 （町） 道</t>
    <rPh sb="0" eb="1">
      <t>シ</t>
    </rPh>
    <rPh sb="3" eb="4">
      <t>マチ</t>
    </rPh>
    <rPh sb="6" eb="7">
      <t>ミチ</t>
    </rPh>
    <phoneticPr fontId="7"/>
  </si>
  <si>
    <t>砂利</t>
    <rPh sb="0" eb="2">
      <t>ジャリ</t>
    </rPh>
    <phoneticPr fontId="7"/>
  </si>
  <si>
    <t>舗装</t>
    <rPh sb="0" eb="2">
      <t>ホソウ</t>
    </rPh>
    <phoneticPr fontId="7"/>
  </si>
  <si>
    <t>※国道・県道は平成27年4月1日現在の数値</t>
    <rPh sb="1" eb="3">
      <t>コクドウ</t>
    </rPh>
    <rPh sb="4" eb="6">
      <t>ケンドウ</t>
    </rPh>
    <rPh sb="7" eb="9">
      <t>ヘイセイ</t>
    </rPh>
    <rPh sb="11" eb="12">
      <t>ネン</t>
    </rPh>
    <rPh sb="13" eb="14">
      <t>ガツ</t>
    </rPh>
    <rPh sb="15" eb="18">
      <t>ニチゲンザイ</t>
    </rPh>
    <rPh sb="19" eb="21">
      <t>スウチ</t>
    </rPh>
    <phoneticPr fontId="7"/>
  </si>
  <si>
    <t>資料：建設課</t>
    <rPh sb="0" eb="2">
      <t>シリョウ</t>
    </rPh>
    <rPh sb="3" eb="5">
      <t>ケンセツ</t>
    </rPh>
    <rPh sb="5" eb="6">
      <t>カ</t>
    </rPh>
    <phoneticPr fontId="7"/>
  </si>
  <si>
    <t>出典：道路現況表（福井県土木部道路保全課）</t>
    <phoneticPr fontId="7"/>
  </si>
  <si>
    <t>世帯数</t>
    <phoneticPr fontId="4"/>
  </si>
  <si>
    <t xml:space="preserve"> (％)</t>
    <phoneticPr fontId="7"/>
  </si>
  <si>
    <t>-</t>
    <phoneticPr fontId="7"/>
  </si>
  <si>
    <t>平成18年</t>
    <phoneticPr fontId="7"/>
  </si>
  <si>
    <t>平成19年</t>
    <phoneticPr fontId="7"/>
  </si>
  <si>
    <t>平成20年</t>
    <phoneticPr fontId="7"/>
  </si>
  <si>
    <t>平成21年</t>
    <phoneticPr fontId="7"/>
  </si>
  <si>
    <t>平成22年</t>
    <phoneticPr fontId="7"/>
  </si>
  <si>
    <t>平成23年</t>
    <phoneticPr fontId="7"/>
  </si>
  <si>
    <t>平成24年</t>
    <phoneticPr fontId="7"/>
  </si>
  <si>
    <t>平成25年</t>
    <phoneticPr fontId="7"/>
  </si>
  <si>
    <t>平成26年</t>
    <phoneticPr fontId="7"/>
  </si>
  <si>
    <t>平成27年</t>
    <phoneticPr fontId="7"/>
  </si>
  <si>
    <t>平成28年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</si>
</sst>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#,##0.0_ ;[Red]\-#,##0.0\ 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indexed="6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name val="Arial"/>
      <family val="2"/>
    </font>
    <font>
      <sz val="6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2" borderId="0"/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48">
    <xf numFmtId="0" fontId="0" fillId="0" borderId="0" xfId="0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6" fillId="0" borderId="0" xfId="3" applyFont="1" applyAlignment="1">
      <alignment vertical="center"/>
    </xf>
    <xf numFmtId="0" fontId="8" fillId="0" borderId="0" xfId="1" applyNumberFormat="1" applyFont="1" applyFill="1" applyAlignment="1" applyProtection="1">
      <alignment vertical="center"/>
    </xf>
    <xf numFmtId="0" fontId="9" fillId="0" borderId="1" xfId="2" applyNumberFormat="1" applyFont="1" applyFill="1" applyBorder="1" applyAlignment="1" applyProtection="1">
      <alignment horizontal="distributed" vertical="center" justifyLastLine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/>
    </xf>
    <xf numFmtId="0" fontId="9" fillId="0" borderId="8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right" vertical="center"/>
    </xf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176" fontId="10" fillId="0" borderId="1" xfId="2" applyNumberFormat="1" applyFont="1" applyFill="1" applyBorder="1" applyAlignment="1" applyProtection="1">
      <alignment vertical="center"/>
      <protection locked="0"/>
    </xf>
    <xf numFmtId="176" fontId="10" fillId="0" borderId="2" xfId="2" applyNumberFormat="1" applyFont="1" applyFill="1" applyBorder="1" applyAlignment="1" applyProtection="1">
      <alignment vertical="center"/>
      <protection locked="0"/>
    </xf>
    <xf numFmtId="176" fontId="10" fillId="0" borderId="9" xfId="2" applyNumberFormat="1" applyFont="1" applyFill="1" applyBorder="1" applyAlignment="1" applyProtection="1">
      <alignment vertical="center"/>
      <protection locked="0"/>
    </xf>
    <xf numFmtId="176" fontId="10" fillId="0" borderId="10" xfId="2" applyNumberFormat="1" applyFont="1" applyFill="1" applyBorder="1" applyAlignment="1" applyProtection="1">
      <alignment vertical="center"/>
      <protection locked="0"/>
    </xf>
    <xf numFmtId="177" fontId="10" fillId="0" borderId="1" xfId="2" applyNumberFormat="1" applyFont="1" applyFill="1" applyBorder="1" applyAlignment="1" applyProtection="1">
      <alignment vertical="center"/>
      <protection locked="0"/>
    </xf>
    <xf numFmtId="0" fontId="9" fillId="0" borderId="11" xfId="3" applyFont="1" applyBorder="1" applyAlignment="1">
      <alignment horizontal="right" vertical="center"/>
    </xf>
    <xf numFmtId="176" fontId="9" fillId="0" borderId="11" xfId="2" applyNumberFormat="1" applyFont="1" applyFill="1" applyBorder="1" applyAlignment="1" applyProtection="1">
      <alignment horizontal="right" vertical="center"/>
      <protection locked="0"/>
    </xf>
    <xf numFmtId="176" fontId="9" fillId="0" borderId="12" xfId="2" applyNumberFormat="1" applyFont="1" applyFill="1" applyBorder="1" applyAlignment="1" applyProtection="1">
      <alignment horizontal="right" vertical="center"/>
      <protection locked="0"/>
    </xf>
    <xf numFmtId="176" fontId="9" fillId="0" borderId="13" xfId="2" applyNumberFormat="1" applyFont="1" applyFill="1" applyBorder="1" applyAlignment="1" applyProtection="1">
      <alignment horizontal="right" vertical="center"/>
      <protection locked="0"/>
    </xf>
    <xf numFmtId="176" fontId="9" fillId="0" borderId="14" xfId="2" applyNumberFormat="1" applyFont="1" applyFill="1" applyBorder="1" applyAlignment="1" applyProtection="1">
      <alignment horizontal="right" vertical="center"/>
      <protection locked="0"/>
    </xf>
    <xf numFmtId="177" fontId="9" fillId="0" borderId="11" xfId="2" applyNumberFormat="1" applyFont="1" applyFill="1" applyBorder="1" applyAlignment="1" applyProtection="1">
      <alignment horizontal="right" vertical="center"/>
      <protection locked="0"/>
    </xf>
    <xf numFmtId="176" fontId="9" fillId="0" borderId="11" xfId="2" applyNumberFormat="1" applyFont="1" applyFill="1" applyBorder="1" applyAlignment="1" applyProtection="1">
      <alignment vertical="center"/>
      <protection locked="0"/>
    </xf>
    <xf numFmtId="176" fontId="9" fillId="0" borderId="12" xfId="2" applyNumberFormat="1" applyFont="1" applyFill="1" applyBorder="1" applyAlignment="1" applyProtection="1">
      <alignment vertical="center"/>
      <protection locked="0"/>
    </xf>
    <xf numFmtId="176" fontId="9" fillId="0" borderId="13" xfId="2" applyNumberFormat="1" applyFont="1" applyFill="1" applyBorder="1" applyAlignment="1" applyProtection="1">
      <alignment vertical="center"/>
      <protection locked="0"/>
    </xf>
    <xf numFmtId="176" fontId="9" fillId="0" borderId="14" xfId="2" applyNumberFormat="1" applyFont="1" applyFill="1" applyBorder="1" applyAlignment="1" applyProtection="1">
      <alignment vertical="center"/>
      <protection locked="0"/>
    </xf>
    <xf numFmtId="177" fontId="9" fillId="0" borderId="11" xfId="2" applyNumberFormat="1" applyFont="1" applyFill="1" applyBorder="1" applyAlignment="1" applyProtection="1">
      <alignment vertical="center"/>
      <protection locked="0"/>
    </xf>
    <xf numFmtId="0" fontId="9" fillId="0" borderId="5" xfId="3" applyFont="1" applyBorder="1" applyAlignment="1">
      <alignment horizontal="right" vertical="center"/>
    </xf>
    <xf numFmtId="176" fontId="9" fillId="0" borderId="5" xfId="2" applyNumberFormat="1" applyFont="1" applyFill="1" applyBorder="1" applyAlignment="1" applyProtection="1">
      <alignment horizontal="right" vertical="center"/>
      <protection locked="0"/>
    </xf>
    <xf numFmtId="176" fontId="9" fillId="0" borderId="6" xfId="2" applyNumberFormat="1" applyFont="1" applyFill="1" applyBorder="1" applyAlignment="1" applyProtection="1">
      <alignment horizontal="right" vertical="center"/>
      <protection locked="0"/>
    </xf>
    <xf numFmtId="176" fontId="9" fillId="0" borderId="15" xfId="2" applyNumberFormat="1" applyFont="1" applyFill="1" applyBorder="1" applyAlignment="1" applyProtection="1">
      <alignment horizontal="right" vertical="center"/>
      <protection locked="0"/>
    </xf>
    <xf numFmtId="176" fontId="9" fillId="0" borderId="16" xfId="2" applyNumberFormat="1" applyFont="1" applyFill="1" applyBorder="1" applyAlignment="1" applyProtection="1">
      <alignment horizontal="right" vertical="center"/>
      <protection locked="0"/>
    </xf>
    <xf numFmtId="177" fontId="9" fillId="0" borderId="5" xfId="2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Alignment="1">
      <alignment vertical="center"/>
    </xf>
    <xf numFmtId="176" fontId="9" fillId="0" borderId="5" xfId="2" applyNumberFormat="1" applyFont="1" applyFill="1" applyBorder="1" applyAlignment="1" applyProtection="1">
      <alignment vertical="center"/>
      <protection locked="0"/>
    </xf>
    <xf numFmtId="176" fontId="9" fillId="0" borderId="6" xfId="2" applyNumberFormat="1" applyFont="1" applyFill="1" applyBorder="1" applyAlignment="1" applyProtection="1">
      <alignment vertical="center"/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76" fontId="9" fillId="0" borderId="16" xfId="2" applyNumberFormat="1" applyFont="1" applyFill="1" applyBorder="1" applyAlignment="1" applyProtection="1">
      <alignment vertical="center"/>
      <protection locked="0"/>
    </xf>
    <xf numFmtId="177" fontId="9" fillId="0" borderId="5" xfId="2" applyNumberFormat="1" applyFont="1" applyFill="1" applyBorder="1" applyAlignment="1" applyProtection="1">
      <alignment vertical="center"/>
      <protection locked="0"/>
    </xf>
    <xf numFmtId="0" fontId="6" fillId="0" borderId="0" xfId="3" applyFont="1" applyAlignment="1">
      <alignment horizontal="center" vertical="center"/>
    </xf>
    <xf numFmtId="0" fontId="9" fillId="0" borderId="0" xfId="2" applyNumberFormat="1" applyFont="1" applyFill="1" applyAlignment="1" applyProtection="1">
      <alignment vertical="center"/>
    </xf>
    <xf numFmtId="177" fontId="9" fillId="0" borderId="3" xfId="2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>
      <alignment vertical="center"/>
    </xf>
    <xf numFmtId="0" fontId="3" fillId="0" borderId="0" xfId="4" applyFont="1" applyAlignment="1">
      <alignment vertical="center"/>
    </xf>
    <xf numFmtId="0" fontId="9" fillId="0" borderId="0" xfId="4" applyFont="1"/>
    <xf numFmtId="0" fontId="6" fillId="0" borderId="17" xfId="4" applyFont="1" applyBorder="1" applyAlignment="1">
      <alignment vertical="center"/>
    </xf>
    <xf numFmtId="0" fontId="9" fillId="0" borderId="17" xfId="4" applyFont="1" applyBorder="1" applyAlignment="1"/>
    <xf numFmtId="0" fontId="9" fillId="0" borderId="0" xfId="4" applyFont="1" applyAlignment="1">
      <alignment vertical="center"/>
    </xf>
    <xf numFmtId="0" fontId="9" fillId="0" borderId="1" xfId="4" applyFont="1" applyBorder="1" applyAlignment="1">
      <alignment vertical="center"/>
    </xf>
    <xf numFmtId="0" fontId="9" fillId="0" borderId="11" xfId="4" applyFont="1" applyBorder="1" applyAlignment="1">
      <alignment horizontal="distributed" vertical="center" justifyLastLine="1"/>
    </xf>
    <xf numFmtId="0" fontId="9" fillId="0" borderId="11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18" xfId="4" applyFont="1" applyBorder="1" applyAlignment="1">
      <alignment horizontal="distributed" vertical="center" justifyLastLine="1"/>
    </xf>
    <xf numFmtId="0" fontId="9" fillId="0" borderId="19" xfId="4" applyFont="1" applyBorder="1" applyAlignment="1">
      <alignment horizontal="distributed" vertical="center" justifyLastLine="1"/>
    </xf>
    <xf numFmtId="0" fontId="9" fillId="0" borderId="20" xfId="4" applyFont="1" applyBorder="1" applyAlignment="1">
      <alignment horizontal="distributed" vertical="center" justifyLastLine="1"/>
    </xf>
    <xf numFmtId="0" fontId="9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center" vertical="center" shrinkToFit="1"/>
    </xf>
    <xf numFmtId="38" fontId="10" fillId="0" borderId="1" xfId="4" applyNumberFormat="1" applyFont="1" applyFill="1" applyBorder="1" applyAlignment="1">
      <alignment vertical="center"/>
    </xf>
    <xf numFmtId="38" fontId="10" fillId="0" borderId="2" xfId="4" applyNumberFormat="1" applyFont="1" applyFill="1" applyBorder="1" applyAlignment="1">
      <alignment vertical="center"/>
    </xf>
    <xf numFmtId="38" fontId="10" fillId="0" borderId="10" xfId="4" applyNumberFormat="1" applyFont="1" applyFill="1" applyBorder="1" applyAlignment="1">
      <alignment vertical="center"/>
    </xf>
    <xf numFmtId="38" fontId="10" fillId="0" borderId="1" xfId="4" applyNumberFormat="1" applyFont="1" applyFill="1" applyBorder="1" applyAlignment="1">
      <alignment horizontal="right" vertical="center"/>
    </xf>
    <xf numFmtId="0" fontId="9" fillId="0" borderId="11" xfId="4" applyFont="1" applyFill="1" applyBorder="1" applyAlignment="1">
      <alignment horizontal="right" vertical="center"/>
    </xf>
    <xf numFmtId="38" fontId="9" fillId="0" borderId="11" xfId="5" applyFont="1" applyFill="1" applyBorder="1" applyAlignment="1">
      <alignment vertical="center"/>
    </xf>
    <xf numFmtId="38" fontId="9" fillId="0" borderId="12" xfId="5" applyFont="1" applyFill="1" applyBorder="1" applyAlignment="1">
      <alignment vertical="center" justifyLastLine="1"/>
    </xf>
    <xf numFmtId="38" fontId="9" fillId="0" borderId="14" xfId="5" applyFont="1" applyFill="1" applyBorder="1" applyAlignment="1">
      <alignment vertical="center" justifyLastLine="1"/>
    </xf>
    <xf numFmtId="38" fontId="9" fillId="0" borderId="11" xfId="5" applyFont="1" applyFill="1" applyBorder="1" applyAlignment="1">
      <alignment horizontal="right" vertical="center"/>
    </xf>
    <xf numFmtId="38" fontId="9" fillId="0" borderId="11" xfId="5" applyFont="1" applyFill="1" applyBorder="1" applyAlignment="1">
      <alignment vertical="center" justifyLastLine="1"/>
    </xf>
    <xf numFmtId="0" fontId="10" fillId="0" borderId="0" xfId="4" applyFont="1" applyFill="1" applyAlignment="1">
      <alignment vertical="center"/>
    </xf>
    <xf numFmtId="38" fontId="9" fillId="0" borderId="12" xfId="5" applyFont="1" applyFill="1" applyBorder="1" applyAlignment="1">
      <alignment vertical="center"/>
    </xf>
    <xf numFmtId="38" fontId="9" fillId="0" borderId="14" xfId="5" applyFont="1" applyFill="1" applyBorder="1" applyAlignment="1">
      <alignment vertical="center"/>
    </xf>
    <xf numFmtId="0" fontId="9" fillId="0" borderId="5" xfId="4" applyFont="1" applyFill="1" applyBorder="1" applyAlignment="1">
      <alignment horizontal="right" vertical="center"/>
    </xf>
    <xf numFmtId="38" fontId="9" fillId="0" borderId="5" xfId="5" applyFont="1" applyFill="1" applyBorder="1" applyAlignment="1">
      <alignment vertical="center"/>
    </xf>
    <xf numFmtId="38" fontId="9" fillId="0" borderId="6" xfId="5" applyFont="1" applyFill="1" applyBorder="1" applyAlignment="1">
      <alignment vertical="center"/>
    </xf>
    <xf numFmtId="38" fontId="9" fillId="0" borderId="16" xfId="5" applyFont="1" applyFill="1" applyBorder="1" applyAlignment="1">
      <alignment vertical="center"/>
    </xf>
    <xf numFmtId="38" fontId="9" fillId="0" borderId="5" xfId="5" applyFont="1" applyFill="1" applyBorder="1" applyAlignment="1">
      <alignment horizontal="right" vertical="center"/>
    </xf>
    <xf numFmtId="0" fontId="10" fillId="0" borderId="18" xfId="4" applyFont="1" applyFill="1" applyBorder="1" applyAlignment="1">
      <alignment horizontal="center" vertical="center" shrinkToFit="1"/>
    </xf>
    <xf numFmtId="38" fontId="10" fillId="0" borderId="18" xfId="4" applyNumberFormat="1" applyFont="1" applyFill="1" applyBorder="1" applyAlignment="1">
      <alignment vertical="center"/>
    </xf>
    <xf numFmtId="38" fontId="10" fillId="0" borderId="19" xfId="4" applyNumberFormat="1" applyFont="1" applyFill="1" applyBorder="1" applyAlignment="1">
      <alignment vertical="center"/>
    </xf>
    <xf numFmtId="38" fontId="10" fillId="0" borderId="20" xfId="4" applyNumberFormat="1" applyFont="1" applyFill="1" applyBorder="1" applyAlignment="1">
      <alignment vertical="center"/>
    </xf>
    <xf numFmtId="38" fontId="10" fillId="0" borderId="5" xfId="5" applyFont="1" applyFill="1" applyBorder="1" applyAlignment="1">
      <alignment horizontal="right" vertical="center"/>
    </xf>
    <xf numFmtId="38" fontId="10" fillId="0" borderId="21" xfId="4" applyNumberFormat="1" applyFont="1" applyFill="1" applyBorder="1" applyAlignment="1">
      <alignment horizontal="right" vertical="center"/>
    </xf>
    <xf numFmtId="0" fontId="9" fillId="0" borderId="0" xfId="4" applyFont="1" applyFill="1"/>
    <xf numFmtId="38" fontId="9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horizontal="right" vertical="center"/>
    </xf>
    <xf numFmtId="38" fontId="9" fillId="0" borderId="0" xfId="5" applyFont="1" applyFill="1" applyBorder="1"/>
    <xf numFmtId="0" fontId="9" fillId="0" borderId="0" xfId="4" applyFont="1" applyAlignment="1"/>
    <xf numFmtId="0" fontId="9" fillId="0" borderId="0" xfId="4" applyFont="1" applyAlignment="1">
      <alignment shrinkToFit="1"/>
    </xf>
    <xf numFmtId="0" fontId="6" fillId="0" borderId="17" xfId="4" applyBorder="1" applyAlignment="1">
      <alignment vertical="center"/>
    </xf>
    <xf numFmtId="0" fontId="9" fillId="0" borderId="17" xfId="4" applyFont="1" applyBorder="1" applyAlignment="1">
      <alignment vertical="center"/>
    </xf>
    <xf numFmtId="0" fontId="9" fillId="0" borderId="17" xfId="4" applyFont="1" applyBorder="1" applyAlignment="1">
      <alignment vertical="center" shrinkToFit="1"/>
    </xf>
    <xf numFmtId="0" fontId="9" fillId="0" borderId="0" xfId="4" applyFont="1" applyBorder="1"/>
    <xf numFmtId="49" fontId="7" fillId="0" borderId="1" xfId="4" applyNumberFormat="1" applyFont="1" applyBorder="1" applyAlignment="1">
      <alignment horizontal="center" vertical="center" shrinkToFit="1"/>
    </xf>
    <xf numFmtId="49" fontId="7" fillId="0" borderId="5" xfId="4" applyNumberFormat="1" applyFont="1" applyBorder="1" applyAlignment="1">
      <alignment vertical="center" shrinkToFit="1"/>
    </xf>
    <xf numFmtId="49" fontId="7" fillId="0" borderId="5" xfId="4" applyNumberFormat="1" applyFont="1" applyBorder="1" applyAlignment="1">
      <alignment horizontal="center" vertical="center" shrinkToFit="1"/>
    </xf>
    <xf numFmtId="0" fontId="11" fillId="0" borderId="1" xfId="4" applyFont="1" applyBorder="1" applyAlignment="1">
      <alignment shrinkToFit="1"/>
    </xf>
    <xf numFmtId="0" fontId="11" fillId="0" borderId="2" xfId="4" applyFont="1" applyBorder="1" applyAlignment="1">
      <alignment shrinkToFit="1"/>
    </xf>
    <xf numFmtId="0" fontId="11" fillId="0" borderId="4" xfId="4" applyFont="1" applyBorder="1" applyAlignment="1">
      <alignment shrinkToFit="1"/>
    </xf>
    <xf numFmtId="38" fontId="11" fillId="0" borderId="4" xfId="5" applyFont="1" applyBorder="1" applyAlignment="1">
      <alignment shrinkToFit="1"/>
    </xf>
    <xf numFmtId="49" fontId="11" fillId="0" borderId="4" xfId="4" applyNumberFormat="1" applyFont="1" applyBorder="1" applyAlignment="1">
      <alignment horizontal="right" shrinkToFit="1"/>
    </xf>
    <xf numFmtId="0" fontId="11" fillId="0" borderId="1" xfId="4" applyFont="1" applyBorder="1" applyAlignment="1">
      <alignment horizontal="center" shrinkToFit="1"/>
    </xf>
    <xf numFmtId="49" fontId="9" fillId="0" borderId="4" xfId="4" applyNumberFormat="1" applyFont="1" applyBorder="1" applyAlignment="1">
      <alignment horizontal="right"/>
    </xf>
    <xf numFmtId="0" fontId="9" fillId="0" borderId="4" xfId="4" applyFont="1" applyBorder="1" applyAlignment="1">
      <alignment horizontal="distributed" shrinkToFit="1"/>
    </xf>
    <xf numFmtId="0" fontId="9" fillId="0" borderId="4" xfId="4" applyFont="1" applyBorder="1" applyAlignment="1">
      <alignment shrinkToFit="1"/>
    </xf>
    <xf numFmtId="0" fontId="9" fillId="0" borderId="4" xfId="4" applyFont="1" applyBorder="1" applyAlignment="1">
      <alignment horizontal="center" shrinkToFit="1"/>
    </xf>
    <xf numFmtId="0" fontId="9" fillId="0" borderId="3" xfId="4" applyFont="1" applyBorder="1" applyAlignment="1">
      <alignment shrinkToFit="1"/>
    </xf>
    <xf numFmtId="0" fontId="9" fillId="0" borderId="4" xfId="4" applyFont="1" applyBorder="1" applyAlignment="1">
      <alignment horizontal="right" shrinkToFit="1"/>
    </xf>
    <xf numFmtId="0" fontId="9" fillId="0" borderId="1" xfId="4" applyFont="1" applyBorder="1" applyAlignment="1">
      <alignment horizontal="right" shrinkToFit="1"/>
    </xf>
    <xf numFmtId="0" fontId="11" fillId="0" borderId="11" xfId="4" applyFont="1" applyBorder="1" applyAlignment="1">
      <alignment shrinkToFit="1"/>
    </xf>
    <xf numFmtId="0" fontId="11" fillId="0" borderId="22" xfId="4" applyFont="1" applyBorder="1" applyAlignment="1">
      <alignment shrinkToFit="1"/>
    </xf>
    <xf numFmtId="38" fontId="11" fillId="0" borderId="22" xfId="5" applyFont="1" applyBorder="1" applyAlignment="1">
      <alignment shrinkToFit="1"/>
    </xf>
    <xf numFmtId="49" fontId="11" fillId="0" borderId="22" xfId="4" applyNumberFormat="1" applyFont="1" applyBorder="1" applyAlignment="1">
      <alignment horizontal="right" shrinkToFit="1"/>
    </xf>
    <xf numFmtId="0" fontId="11" fillId="0" borderId="11" xfId="4" applyFont="1" applyBorder="1" applyAlignment="1">
      <alignment horizontal="center" shrinkToFit="1"/>
    </xf>
    <xf numFmtId="49" fontId="9" fillId="0" borderId="22" xfId="4" applyNumberFormat="1" applyFont="1" applyBorder="1" applyAlignment="1">
      <alignment horizontal="right"/>
    </xf>
    <xf numFmtId="0" fontId="9" fillId="0" borderId="22" xfId="4" applyFont="1" applyBorder="1" applyAlignment="1">
      <alignment horizontal="center" vertical="center" shrinkToFit="1"/>
    </xf>
    <xf numFmtId="0" fontId="9" fillId="0" borderId="22" xfId="4" applyFont="1" applyBorder="1" applyAlignment="1">
      <alignment shrinkToFit="1"/>
    </xf>
    <xf numFmtId="0" fontId="9" fillId="0" borderId="22" xfId="4" applyFont="1" applyBorder="1" applyAlignment="1">
      <alignment horizontal="center" shrinkToFit="1"/>
    </xf>
    <xf numFmtId="0" fontId="9" fillId="0" borderId="22" xfId="4" applyFont="1" applyBorder="1" applyAlignment="1">
      <alignment horizontal="right" shrinkToFit="1"/>
    </xf>
    <xf numFmtId="0" fontId="9" fillId="0" borderId="11" xfId="4" applyFont="1" applyBorder="1" applyAlignment="1">
      <alignment horizontal="right" shrinkToFit="1"/>
    </xf>
    <xf numFmtId="0" fontId="11" fillId="0" borderId="12" xfId="4" applyFont="1" applyBorder="1" applyAlignment="1">
      <alignment shrinkToFit="1"/>
    </xf>
    <xf numFmtId="0" fontId="11" fillId="0" borderId="0" xfId="4" applyFont="1" applyBorder="1" applyAlignment="1">
      <alignment shrinkToFit="1"/>
    </xf>
    <xf numFmtId="0" fontId="11" fillId="0" borderId="22" xfId="4" applyFont="1" applyBorder="1" applyAlignment="1">
      <alignment horizontal="right" shrinkToFit="1"/>
    </xf>
    <xf numFmtId="0" fontId="9" fillId="0" borderId="0" xfId="4" applyFont="1" applyBorder="1" applyAlignment="1">
      <alignment shrinkToFit="1"/>
    </xf>
    <xf numFmtId="0" fontId="9" fillId="0" borderId="11" xfId="4" applyFont="1" applyBorder="1" applyAlignment="1">
      <alignment horizontal="right"/>
    </xf>
    <xf numFmtId="0" fontId="11" fillId="0" borderId="5" xfId="4" applyFont="1" applyBorder="1" applyAlignment="1">
      <alignment shrinkToFit="1"/>
    </xf>
    <xf numFmtId="0" fontId="11" fillId="0" borderId="6" xfId="4" applyFont="1" applyBorder="1" applyAlignment="1">
      <alignment shrinkToFit="1"/>
    </xf>
    <xf numFmtId="0" fontId="11" fillId="0" borderId="23" xfId="4" applyFont="1" applyBorder="1" applyAlignment="1">
      <alignment shrinkToFit="1"/>
    </xf>
    <xf numFmtId="38" fontId="11" fillId="0" borderId="23" xfId="5" applyFont="1" applyBorder="1" applyAlignment="1">
      <alignment shrinkToFit="1"/>
    </xf>
    <xf numFmtId="49" fontId="11" fillId="0" borderId="23" xfId="4" applyNumberFormat="1" applyFont="1" applyBorder="1" applyAlignment="1">
      <alignment horizontal="right" shrinkToFit="1"/>
    </xf>
    <xf numFmtId="0" fontId="11" fillId="0" borderId="5" xfId="4" applyFont="1" applyBorder="1" applyAlignment="1">
      <alignment horizontal="center" shrinkToFit="1"/>
    </xf>
    <xf numFmtId="49" fontId="9" fillId="0" borderId="23" xfId="4" applyNumberFormat="1" applyFont="1" applyBorder="1" applyAlignment="1">
      <alignment horizontal="right"/>
    </xf>
    <xf numFmtId="0" fontId="9" fillId="0" borderId="23" xfId="4" applyFont="1" applyBorder="1" applyAlignment="1">
      <alignment shrinkToFit="1"/>
    </xf>
    <xf numFmtId="0" fontId="9" fillId="0" borderId="23" xfId="4" applyFont="1" applyBorder="1" applyAlignment="1">
      <alignment horizontal="center" shrinkToFit="1"/>
    </xf>
    <xf numFmtId="0" fontId="9" fillId="0" borderId="17" xfId="4" applyFont="1" applyBorder="1" applyAlignment="1">
      <alignment shrinkToFit="1"/>
    </xf>
    <xf numFmtId="0" fontId="9" fillId="0" borderId="23" xfId="4" applyFont="1" applyBorder="1" applyAlignment="1">
      <alignment horizontal="right" shrinkToFit="1"/>
    </xf>
    <xf numFmtId="0" fontId="9" fillId="0" borderId="5" xfId="4" applyFont="1" applyBorder="1" applyAlignment="1">
      <alignment horizontal="right" shrinkToFit="1"/>
    </xf>
    <xf numFmtId="0" fontId="11" fillId="0" borderId="0" xfId="4" applyFont="1" applyAlignment="1"/>
    <xf numFmtId="0" fontId="11" fillId="0" borderId="0" xfId="4" applyFont="1" applyAlignment="1">
      <alignment shrinkToFit="1"/>
    </xf>
    <xf numFmtId="38" fontId="11" fillId="0" borderId="0" xfId="5" applyFont="1" applyAlignment="1">
      <alignment horizontal="center" shrinkToFit="1"/>
    </xf>
    <xf numFmtId="49" fontId="11" fillId="0" borderId="0" xfId="4" applyNumberFormat="1" applyFont="1" applyAlignment="1">
      <alignment horizontal="right" shrinkToFit="1"/>
    </xf>
    <xf numFmtId="0" fontId="11" fillId="0" borderId="0" xfId="4" applyFont="1" applyAlignment="1">
      <alignment horizontal="center" shrinkToFit="1"/>
    </xf>
    <xf numFmtId="49" fontId="9" fillId="0" borderId="0" xfId="4" applyNumberFormat="1" applyFont="1" applyAlignment="1">
      <alignment horizontal="right"/>
    </xf>
    <xf numFmtId="0" fontId="9" fillId="0" borderId="0" xfId="4" applyFont="1" applyAlignment="1">
      <alignment horizontal="distributed" shrinkToFit="1"/>
    </xf>
    <xf numFmtId="0" fontId="9" fillId="0" borderId="0" xfId="4" applyFont="1" applyAlignment="1">
      <alignment horizontal="center" shrinkToFit="1"/>
    </xf>
    <xf numFmtId="0" fontId="9" fillId="0" borderId="0" xfId="4" applyFont="1" applyAlignment="1">
      <alignment horizontal="right" shrinkToFit="1"/>
    </xf>
    <xf numFmtId="0" fontId="9" fillId="0" borderId="0" xfId="4" applyFont="1" applyAlignment="1">
      <alignment horizontal="right" vertical="center"/>
    </xf>
    <xf numFmtId="0" fontId="3" fillId="0" borderId="0" xfId="3" applyFont="1">
      <alignment vertical="center"/>
    </xf>
    <xf numFmtId="0" fontId="9" fillId="0" borderId="0" xfId="3" applyFont="1">
      <alignment vertical="center"/>
    </xf>
    <xf numFmtId="0" fontId="9" fillId="0" borderId="6" xfId="3" applyFont="1" applyBorder="1" applyAlignment="1">
      <alignment horizontal="distributed" vertical="center" justifyLastLine="1"/>
    </xf>
    <xf numFmtId="0" fontId="9" fillId="0" borderId="20" xfId="3" applyFont="1" applyBorder="1" applyAlignment="1">
      <alignment horizontal="distributed" vertical="center" justifyLastLine="1"/>
    </xf>
    <xf numFmtId="0" fontId="9" fillId="0" borderId="25" xfId="3" applyFont="1" applyBorder="1" applyAlignment="1">
      <alignment horizontal="distributed" vertical="center" justifyLastLine="1"/>
    </xf>
    <xf numFmtId="0" fontId="9" fillId="0" borderId="0" xfId="3" applyFont="1" applyFill="1">
      <alignment vertical="center"/>
    </xf>
    <xf numFmtId="176" fontId="10" fillId="0" borderId="26" xfId="3" applyNumberFormat="1" applyFont="1" applyFill="1" applyBorder="1">
      <alignment vertical="center"/>
    </xf>
    <xf numFmtId="176" fontId="10" fillId="0" borderId="27" xfId="3" applyNumberFormat="1" applyFont="1" applyFill="1" applyBorder="1">
      <alignment vertical="center"/>
    </xf>
    <xf numFmtId="176" fontId="10" fillId="0" borderId="28" xfId="3" applyNumberFormat="1" applyFont="1" applyFill="1" applyBorder="1">
      <alignment vertical="center"/>
    </xf>
    <xf numFmtId="0" fontId="9" fillId="0" borderId="29" xfId="3" applyFont="1" applyFill="1" applyBorder="1" applyAlignment="1">
      <alignment horizontal="right" vertical="center"/>
    </xf>
    <xf numFmtId="176" fontId="9" fillId="0" borderId="30" xfId="3" applyNumberFormat="1" applyFont="1" applyFill="1" applyBorder="1">
      <alignment vertical="center"/>
    </xf>
    <xf numFmtId="176" fontId="9" fillId="0" borderId="29" xfId="3" applyNumberFormat="1" applyFont="1" applyFill="1" applyBorder="1">
      <alignment vertical="center"/>
    </xf>
    <xf numFmtId="38" fontId="9" fillId="0" borderId="31" xfId="6" applyFont="1" applyFill="1" applyBorder="1">
      <alignment vertical="center"/>
    </xf>
    <xf numFmtId="38" fontId="9" fillId="0" borderId="32" xfId="6" applyFont="1" applyFill="1" applyBorder="1">
      <alignment vertical="center"/>
    </xf>
    <xf numFmtId="176" fontId="9" fillId="0" borderId="33" xfId="3" applyNumberFormat="1" applyFont="1" applyFill="1" applyBorder="1">
      <alignment vertical="center"/>
    </xf>
    <xf numFmtId="176" fontId="9" fillId="0" borderId="32" xfId="3" applyNumberFormat="1" applyFont="1" applyFill="1" applyBorder="1">
      <alignment vertical="center"/>
    </xf>
    <xf numFmtId="0" fontId="9" fillId="0" borderId="16" xfId="3" applyFont="1" applyFill="1" applyBorder="1" applyAlignment="1">
      <alignment horizontal="right" vertical="center"/>
    </xf>
    <xf numFmtId="176" fontId="9" fillId="0" borderId="34" xfId="3" applyNumberFormat="1" applyFont="1" applyFill="1" applyBorder="1">
      <alignment vertical="center"/>
    </xf>
    <xf numFmtId="176" fontId="9" fillId="0" borderId="8" xfId="3" applyNumberFormat="1" applyFont="1" applyFill="1" applyBorder="1">
      <alignment vertical="center"/>
    </xf>
    <xf numFmtId="38" fontId="9" fillId="0" borderId="35" xfId="6" applyFont="1" applyFill="1" applyBorder="1">
      <alignment vertical="center"/>
    </xf>
    <xf numFmtId="38" fontId="9" fillId="0" borderId="8" xfId="6" applyFont="1" applyFill="1" applyBorder="1">
      <alignment vertical="center"/>
    </xf>
    <xf numFmtId="176" fontId="10" fillId="0" borderId="19" xfId="3" applyNumberFormat="1" applyFont="1" applyFill="1" applyBorder="1">
      <alignment vertical="center"/>
    </xf>
    <xf numFmtId="176" fontId="10" fillId="0" borderId="20" xfId="3" applyNumberFormat="1" applyFont="1" applyFill="1" applyBorder="1">
      <alignment vertical="center"/>
    </xf>
    <xf numFmtId="38" fontId="10" fillId="0" borderId="19" xfId="6" applyFont="1" applyFill="1" applyBorder="1">
      <alignment vertical="center"/>
    </xf>
    <xf numFmtId="38" fontId="10" fillId="0" borderId="20" xfId="6" applyFont="1" applyFill="1" applyBorder="1">
      <alignment vertical="center"/>
    </xf>
    <xf numFmtId="176" fontId="10" fillId="0" borderId="36" xfId="3" applyNumberFormat="1" applyFont="1" applyFill="1" applyBorder="1">
      <alignment vertical="center"/>
    </xf>
    <xf numFmtId="176" fontId="10" fillId="0" borderId="10" xfId="3" applyNumberFormat="1" applyFont="1" applyFill="1" applyBorder="1">
      <alignment vertical="center"/>
    </xf>
    <xf numFmtId="0" fontId="10" fillId="0" borderId="0" xfId="3" applyFont="1" applyFill="1">
      <alignment vertical="center"/>
    </xf>
    <xf numFmtId="176" fontId="9" fillId="0" borderId="31" xfId="3" applyNumberFormat="1" applyFont="1" applyFill="1" applyBorder="1">
      <alignment vertical="center"/>
    </xf>
    <xf numFmtId="176" fontId="9" fillId="0" borderId="35" xfId="3" applyNumberFormat="1" applyFont="1" applyFill="1" applyBorder="1">
      <alignment vertical="center"/>
    </xf>
    <xf numFmtId="0" fontId="9" fillId="0" borderId="32" xfId="3" applyFont="1" applyFill="1" applyBorder="1" applyAlignment="1">
      <alignment horizontal="right" vertical="center"/>
    </xf>
    <xf numFmtId="176" fontId="10" fillId="0" borderId="25" xfId="3" applyNumberFormat="1" applyFont="1" applyFill="1" applyBorder="1">
      <alignment vertical="center"/>
    </xf>
    <xf numFmtId="176" fontId="10" fillId="0" borderId="12" xfId="3" applyNumberFormat="1" applyFont="1" applyFill="1" applyBorder="1">
      <alignment vertical="center"/>
    </xf>
    <xf numFmtId="176" fontId="10" fillId="0" borderId="14" xfId="3" applyNumberFormat="1" applyFont="1" applyFill="1" applyBorder="1">
      <alignment vertical="center"/>
    </xf>
    <xf numFmtId="176" fontId="9" fillId="0" borderId="37" xfId="3" applyNumberFormat="1" applyFont="1" applyFill="1" applyBorder="1">
      <alignment vertical="center"/>
    </xf>
    <xf numFmtId="38" fontId="9" fillId="0" borderId="37" xfId="6" applyFont="1" applyFill="1" applyBorder="1">
      <alignment vertical="center"/>
    </xf>
    <xf numFmtId="38" fontId="9" fillId="0" borderId="29" xfId="6" applyFont="1" applyFill="1" applyBorder="1">
      <alignment vertical="center"/>
    </xf>
    <xf numFmtId="0" fontId="9" fillId="0" borderId="0" xfId="3" applyFont="1" applyAlignment="1">
      <alignment horizontal="right" vertical="center"/>
    </xf>
    <xf numFmtId="0" fontId="6" fillId="0" borderId="0" xfId="3" applyFont="1" applyFill="1">
      <alignment vertical="center"/>
    </xf>
    <xf numFmtId="0" fontId="9" fillId="0" borderId="25" xfId="3" applyFont="1" applyFill="1" applyBorder="1" applyAlignment="1">
      <alignment horizontal="distributed" vertical="center" justifyLastLine="1"/>
    </xf>
    <xf numFmtId="0" fontId="9" fillId="0" borderId="20" xfId="3" applyFont="1" applyFill="1" applyBorder="1" applyAlignment="1">
      <alignment horizontal="distributed" vertical="center" justifyLastLine="1"/>
    </xf>
    <xf numFmtId="38" fontId="9" fillId="0" borderId="38" xfId="6" applyFont="1" applyFill="1" applyBorder="1" applyAlignment="1">
      <alignment vertical="center"/>
    </xf>
    <xf numFmtId="38" fontId="9" fillId="0" borderId="20" xfId="6" applyFont="1" applyFill="1" applyBorder="1" applyAlignment="1">
      <alignment vertical="center"/>
    </xf>
    <xf numFmtId="38" fontId="9" fillId="0" borderId="25" xfId="6" applyFont="1" applyFill="1" applyBorder="1" applyAlignment="1">
      <alignment vertical="center"/>
    </xf>
    <xf numFmtId="38" fontId="9" fillId="0" borderId="14" xfId="6" applyFont="1" applyFill="1" applyBorder="1" applyAlignment="1">
      <alignment vertical="center"/>
    </xf>
    <xf numFmtId="38" fontId="9" fillId="0" borderId="39" xfId="6" applyFont="1" applyFill="1" applyBorder="1" applyAlignment="1">
      <alignment vertical="center"/>
    </xf>
    <xf numFmtId="38" fontId="9" fillId="0" borderId="25" xfId="6" applyFont="1" applyFill="1" applyBorder="1">
      <alignment vertical="center"/>
    </xf>
    <xf numFmtId="38" fontId="9" fillId="0" borderId="20" xfId="6" applyFont="1" applyFill="1" applyBorder="1">
      <alignment vertical="center"/>
    </xf>
    <xf numFmtId="3" fontId="9" fillId="0" borderId="0" xfId="3" applyNumberFormat="1" applyFo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9" fillId="0" borderId="0" xfId="3" applyFont="1" applyBorder="1">
      <alignment vertical="center"/>
    </xf>
    <xf numFmtId="0" fontId="6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right"/>
    </xf>
    <xf numFmtId="0" fontId="9" fillId="0" borderId="42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176" fontId="10" fillId="0" borderId="28" xfId="3" applyNumberFormat="1" applyFont="1" applyBorder="1" applyAlignment="1">
      <alignment vertical="center"/>
    </xf>
    <xf numFmtId="176" fontId="10" fillId="0" borderId="45" xfId="3" applyNumberFormat="1" applyFont="1" applyBorder="1" applyAlignment="1">
      <alignment vertical="center"/>
    </xf>
    <xf numFmtId="176" fontId="10" fillId="0" borderId="46" xfId="3" applyNumberFormat="1" applyFont="1" applyBorder="1" applyAlignment="1">
      <alignment vertical="center"/>
    </xf>
    <xf numFmtId="176" fontId="10" fillId="0" borderId="27" xfId="3" applyNumberFormat="1" applyFont="1" applyBorder="1" applyAlignment="1">
      <alignment vertical="center"/>
    </xf>
    <xf numFmtId="0" fontId="9" fillId="0" borderId="47" xfId="3" applyFont="1" applyBorder="1" applyAlignment="1">
      <alignment horizontal="center" vertical="center"/>
    </xf>
    <xf numFmtId="176" fontId="10" fillId="0" borderId="34" xfId="3" applyNumberFormat="1" applyFont="1" applyBorder="1" applyAlignment="1">
      <alignment vertical="center"/>
    </xf>
    <xf numFmtId="176" fontId="10" fillId="0" borderId="48" xfId="3" applyNumberFormat="1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176" fontId="10" fillId="0" borderId="49" xfId="3" applyNumberFormat="1" applyFont="1" applyBorder="1" applyAlignment="1">
      <alignment vertical="center"/>
    </xf>
    <xf numFmtId="176" fontId="10" fillId="0" borderId="8" xfId="3" applyNumberFormat="1" applyFont="1" applyBorder="1" applyAlignment="1">
      <alignment vertical="center"/>
    </xf>
    <xf numFmtId="0" fontId="9" fillId="0" borderId="12" xfId="3" applyFont="1" applyBorder="1">
      <alignment vertical="center"/>
    </xf>
    <xf numFmtId="0" fontId="9" fillId="0" borderId="26" xfId="3" applyFont="1" applyBorder="1" applyAlignment="1">
      <alignment horizontal="center" vertical="center"/>
    </xf>
    <xf numFmtId="176" fontId="9" fillId="0" borderId="28" xfId="3" applyNumberFormat="1" applyFont="1" applyBorder="1" applyAlignment="1">
      <alignment vertical="center"/>
    </xf>
    <xf numFmtId="176" fontId="9" fillId="0" borderId="50" xfId="3" applyNumberFormat="1" applyFont="1" applyBorder="1" applyAlignment="1">
      <alignment vertical="center"/>
    </xf>
    <xf numFmtId="176" fontId="9" fillId="0" borderId="45" xfId="3" applyNumberFormat="1" applyFont="1" applyBorder="1" applyAlignment="1">
      <alignment vertical="center"/>
    </xf>
    <xf numFmtId="176" fontId="9" fillId="0" borderId="46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0" fontId="9" fillId="0" borderId="35" xfId="3" applyFont="1" applyBorder="1" applyAlignment="1">
      <alignment horizontal="center" vertical="center"/>
    </xf>
    <xf numFmtId="176" fontId="9" fillId="0" borderId="34" xfId="3" applyNumberFormat="1" applyFont="1" applyBorder="1" applyAlignment="1">
      <alignment vertical="center"/>
    </xf>
    <xf numFmtId="176" fontId="9" fillId="0" borderId="48" xfId="3" applyNumberFormat="1" applyFont="1" applyBorder="1" applyAlignment="1">
      <alignment vertical="center"/>
    </xf>
    <xf numFmtId="176" fontId="9" fillId="0" borderId="7" xfId="3" applyNumberFormat="1" applyFont="1" applyBorder="1" applyAlignment="1">
      <alignment vertical="center"/>
    </xf>
    <xf numFmtId="176" fontId="9" fillId="0" borderId="49" xfId="3" applyNumberFormat="1" applyFont="1" applyBorder="1" applyAlignment="1">
      <alignment vertical="center"/>
    </xf>
    <xf numFmtId="176" fontId="9" fillId="0" borderId="8" xfId="3" applyNumberFormat="1" applyFont="1" applyBorder="1" applyAlignment="1">
      <alignment vertical="center"/>
    </xf>
    <xf numFmtId="0" fontId="9" fillId="0" borderId="6" xfId="3" applyFont="1" applyBorder="1">
      <alignment vertical="center"/>
    </xf>
    <xf numFmtId="176" fontId="9" fillId="0" borderId="38" xfId="3" applyNumberFormat="1" applyFont="1" applyBorder="1" applyAlignment="1">
      <alignment vertical="center"/>
    </xf>
    <xf numFmtId="176" fontId="9" fillId="0" borderId="42" xfId="3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176" fontId="9" fillId="0" borderId="43" xfId="3" applyNumberFormat="1" applyFont="1" applyBorder="1" applyAlignment="1">
      <alignment vertical="center"/>
    </xf>
    <xf numFmtId="176" fontId="9" fillId="0" borderId="16" xfId="3" applyNumberFormat="1" applyFont="1" applyBorder="1" applyAlignment="1">
      <alignment vertical="center"/>
    </xf>
    <xf numFmtId="0" fontId="6" fillId="0" borderId="17" xfId="3" applyFont="1" applyBorder="1">
      <alignment vertical="center"/>
    </xf>
    <xf numFmtId="0" fontId="9" fillId="0" borderId="17" xfId="3" applyFont="1" applyBorder="1">
      <alignment vertical="center"/>
    </xf>
    <xf numFmtId="176" fontId="10" fillId="0" borderId="3" xfId="3" applyNumberFormat="1" applyFont="1" applyBorder="1" applyAlignment="1">
      <alignment vertical="center"/>
    </xf>
    <xf numFmtId="176" fontId="10" fillId="0" borderId="36" xfId="3" applyNumberFormat="1" applyFont="1" applyBorder="1" applyAlignment="1">
      <alignment vertical="center"/>
    </xf>
    <xf numFmtId="176" fontId="10" fillId="0" borderId="57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 wrapText="1" shrinkToFit="1"/>
    </xf>
    <xf numFmtId="176" fontId="10" fillId="0" borderId="10" xfId="3" applyNumberFormat="1" applyFont="1" applyBorder="1" applyAlignment="1">
      <alignment vertical="center" wrapText="1"/>
    </xf>
    <xf numFmtId="176" fontId="10" fillId="0" borderId="1" xfId="3" applyNumberFormat="1" applyFont="1" applyBorder="1" applyAlignment="1">
      <alignment vertical="center"/>
    </xf>
    <xf numFmtId="176" fontId="10" fillId="0" borderId="58" xfId="3" applyNumberFormat="1" applyFont="1" applyBorder="1" applyAlignment="1">
      <alignment vertical="center"/>
    </xf>
    <xf numFmtId="0" fontId="9" fillId="0" borderId="14" xfId="3" applyFont="1" applyBorder="1">
      <alignment vertical="center"/>
    </xf>
    <xf numFmtId="176" fontId="9" fillId="0" borderId="0" xfId="3" applyNumberFormat="1" applyFont="1" applyBorder="1" applyAlignment="1">
      <alignment vertical="center"/>
    </xf>
    <xf numFmtId="176" fontId="9" fillId="0" borderId="39" xfId="3" applyNumberFormat="1" applyFont="1" applyBorder="1" applyAlignment="1">
      <alignment vertical="center"/>
    </xf>
    <xf numFmtId="176" fontId="9" fillId="0" borderId="59" xfId="3" applyNumberFormat="1" applyFont="1" applyBorder="1" applyAlignment="1">
      <alignment vertical="center"/>
    </xf>
    <xf numFmtId="176" fontId="9" fillId="0" borderId="13" xfId="3" applyNumberFormat="1" applyFont="1" applyBorder="1" applyAlignment="1">
      <alignment vertical="center"/>
    </xf>
    <xf numFmtId="176" fontId="9" fillId="0" borderId="13" xfId="3" applyNumberFormat="1" applyFont="1" applyBorder="1" applyAlignment="1">
      <alignment vertical="center" wrapText="1" shrinkToFit="1"/>
    </xf>
    <xf numFmtId="176" fontId="9" fillId="0" borderId="14" xfId="3" applyNumberFormat="1" applyFont="1" applyBorder="1" applyAlignment="1">
      <alignment vertical="center" wrapText="1"/>
    </xf>
    <xf numFmtId="176" fontId="9" fillId="0" borderId="11" xfId="3" applyNumberFormat="1" applyFont="1" applyBorder="1" applyAlignment="1">
      <alignment vertical="center"/>
    </xf>
    <xf numFmtId="176" fontId="9" fillId="0" borderId="60" xfId="3" applyNumberFormat="1" applyFont="1" applyBorder="1" applyAlignment="1">
      <alignment vertical="center"/>
    </xf>
    <xf numFmtId="176" fontId="9" fillId="0" borderId="15" xfId="3" applyNumberFormat="1" applyFont="1" applyBorder="1" applyAlignment="1">
      <alignment vertical="center" wrapText="1" shrinkToFit="1"/>
    </xf>
    <xf numFmtId="176" fontId="9" fillId="0" borderId="16" xfId="3" applyNumberFormat="1" applyFont="1" applyBorder="1" applyAlignment="1">
      <alignment vertical="center" wrapText="1"/>
    </xf>
    <xf numFmtId="176" fontId="9" fillId="0" borderId="5" xfId="3" applyNumberFormat="1" applyFont="1" applyBorder="1" applyAlignment="1">
      <alignment vertical="center"/>
    </xf>
    <xf numFmtId="176" fontId="10" fillId="0" borderId="36" xfId="3" applyNumberFormat="1" applyFont="1" applyFill="1" applyBorder="1" applyAlignment="1">
      <alignment vertical="center"/>
    </xf>
    <xf numFmtId="176" fontId="9" fillId="0" borderId="17" xfId="3" applyNumberFormat="1" applyFont="1" applyBorder="1" applyAlignment="1">
      <alignment vertical="center"/>
    </xf>
    <xf numFmtId="0" fontId="10" fillId="0" borderId="11" xfId="3" applyFont="1" applyBorder="1" applyAlignment="1">
      <alignment horizontal="center" vertical="center"/>
    </xf>
    <xf numFmtId="38" fontId="10" fillId="0" borderId="0" xfId="6" applyFont="1" applyBorder="1" applyAlignment="1">
      <alignment horizontal="right" vertical="center"/>
    </xf>
    <xf numFmtId="38" fontId="10" fillId="0" borderId="39" xfId="6" applyFont="1" applyFill="1" applyBorder="1" applyAlignment="1">
      <alignment horizontal="right" vertical="center"/>
    </xf>
    <xf numFmtId="38" fontId="10" fillId="0" borderId="59" xfId="6" applyFont="1" applyBorder="1" applyAlignment="1">
      <alignment horizontal="right" vertical="center"/>
    </xf>
    <xf numFmtId="38" fontId="10" fillId="0" borderId="13" xfId="6" applyFont="1" applyBorder="1" applyAlignment="1">
      <alignment horizontal="right" vertical="center"/>
    </xf>
    <xf numFmtId="38" fontId="10" fillId="0" borderId="14" xfId="6" applyFont="1" applyBorder="1" applyAlignment="1">
      <alignment horizontal="right" vertical="center"/>
    </xf>
    <xf numFmtId="38" fontId="10" fillId="0" borderId="11" xfId="6" applyFont="1" applyBorder="1" applyAlignment="1">
      <alignment horizontal="right" vertical="center"/>
    </xf>
    <xf numFmtId="38" fontId="10" fillId="0" borderId="39" xfId="6" applyFont="1" applyBorder="1" applyAlignment="1">
      <alignment horizontal="right" vertical="center"/>
    </xf>
    <xf numFmtId="38" fontId="10" fillId="0" borderId="60" xfId="6" applyFont="1" applyBorder="1" applyAlignment="1">
      <alignment horizontal="right" vertical="center"/>
    </xf>
    <xf numFmtId="38" fontId="10" fillId="0" borderId="0" xfId="6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38" fontId="9" fillId="0" borderId="0" xfId="6" applyFont="1" applyBorder="1" applyAlignment="1">
      <alignment horizontal="right" vertical="center"/>
    </xf>
    <xf numFmtId="38" fontId="9" fillId="0" borderId="39" xfId="6" applyFont="1" applyBorder="1" applyAlignment="1">
      <alignment horizontal="right" vertical="center"/>
    </xf>
    <xf numFmtId="38" fontId="9" fillId="0" borderId="59" xfId="6" applyFont="1" applyBorder="1" applyAlignment="1">
      <alignment horizontal="right" vertical="center"/>
    </xf>
    <xf numFmtId="38" fontId="9" fillId="0" borderId="13" xfId="6" applyFont="1" applyBorder="1" applyAlignment="1">
      <alignment horizontal="right" vertical="center"/>
    </xf>
    <xf numFmtId="38" fontId="9" fillId="0" borderId="14" xfId="6" applyFont="1" applyBorder="1" applyAlignment="1">
      <alignment horizontal="right" vertical="center"/>
    </xf>
    <xf numFmtId="38" fontId="9" fillId="0" borderId="11" xfId="6" applyFont="1" applyBorder="1" applyAlignment="1">
      <alignment horizontal="right" vertical="center"/>
    </xf>
    <xf numFmtId="38" fontId="9" fillId="0" borderId="60" xfId="6" applyFont="1" applyBorder="1" applyAlignment="1">
      <alignment horizontal="right" vertical="center"/>
    </xf>
    <xf numFmtId="38" fontId="9" fillId="0" borderId="0" xfId="6" applyFont="1" applyAlignment="1">
      <alignment horizontal="right" vertical="center"/>
    </xf>
    <xf numFmtId="38" fontId="9" fillId="0" borderId="17" xfId="6" applyFont="1" applyBorder="1" applyAlignment="1">
      <alignment horizontal="right" vertical="center"/>
    </xf>
    <xf numFmtId="38" fontId="9" fillId="0" borderId="38" xfId="6" applyFont="1" applyBorder="1" applyAlignment="1">
      <alignment horizontal="right" vertical="center"/>
    </xf>
    <xf numFmtId="38" fontId="9" fillId="0" borderId="42" xfId="6" applyFont="1" applyBorder="1" applyAlignment="1">
      <alignment horizontal="right" vertical="center"/>
    </xf>
    <xf numFmtId="38" fontId="9" fillId="0" borderId="15" xfId="6" applyFont="1" applyBorder="1" applyAlignment="1">
      <alignment horizontal="right" vertical="center"/>
    </xf>
    <xf numFmtId="38" fontId="9" fillId="0" borderId="16" xfId="6" applyFont="1" applyBorder="1" applyAlignment="1">
      <alignment horizontal="right" vertical="center"/>
    </xf>
    <xf numFmtId="38" fontId="9" fillId="0" borderId="5" xfId="6" applyFont="1" applyBorder="1" applyAlignment="1">
      <alignment horizontal="right" vertical="center"/>
    </xf>
    <xf numFmtId="38" fontId="9" fillId="0" borderId="43" xfId="6" applyFont="1" applyBorder="1" applyAlignment="1">
      <alignment horizontal="right" vertical="center"/>
    </xf>
    <xf numFmtId="0" fontId="10" fillId="0" borderId="18" xfId="3" applyFont="1" applyBorder="1" applyAlignment="1">
      <alignment horizontal="center" vertical="center"/>
    </xf>
    <xf numFmtId="38" fontId="10" fillId="0" borderId="61" xfId="6" applyFont="1" applyFill="1" applyBorder="1" applyAlignment="1">
      <alignment horizontal="right" vertical="center"/>
    </xf>
    <xf numFmtId="38" fontId="10" fillId="0" borderId="25" xfId="6" applyFont="1" applyFill="1" applyBorder="1" applyAlignment="1">
      <alignment horizontal="right" vertical="center"/>
    </xf>
    <xf numFmtId="38" fontId="10" fillId="0" borderId="62" xfId="6" applyFont="1" applyFill="1" applyBorder="1" applyAlignment="1">
      <alignment horizontal="right" vertical="center"/>
    </xf>
    <xf numFmtId="38" fontId="10" fillId="0" borderId="55" xfId="6" applyFont="1" applyFill="1" applyBorder="1" applyAlignment="1">
      <alignment horizontal="right" vertical="center"/>
    </xf>
    <xf numFmtId="38" fontId="10" fillId="0" borderId="20" xfId="6" applyFont="1" applyFill="1" applyBorder="1" applyAlignment="1">
      <alignment horizontal="right" vertical="center"/>
    </xf>
    <xf numFmtId="38" fontId="10" fillId="0" borderId="18" xfId="6" applyFont="1" applyFill="1" applyBorder="1" applyAlignment="1">
      <alignment horizontal="right" vertical="center"/>
    </xf>
    <xf numFmtId="38" fontId="10" fillId="0" borderId="56" xfId="6" applyFont="1" applyFill="1" applyBorder="1" applyAlignment="1">
      <alignment horizontal="right" vertical="center"/>
    </xf>
    <xf numFmtId="38" fontId="10" fillId="0" borderId="20" xfId="6" applyFont="1" applyBorder="1" applyAlignment="1">
      <alignment horizontal="right" vertical="center"/>
    </xf>
    <xf numFmtId="0" fontId="10" fillId="0" borderId="18" xfId="3" applyFont="1" applyFill="1" applyBorder="1" applyAlignment="1">
      <alignment horizontal="center" vertical="center"/>
    </xf>
    <xf numFmtId="38" fontId="10" fillId="0" borderId="0" xfId="6" applyFont="1" applyFill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38" fontId="9" fillId="0" borderId="0" xfId="3" applyNumberFormat="1" applyFont="1" applyAlignment="1">
      <alignment horizontal="right" vertical="center"/>
    </xf>
    <xf numFmtId="0" fontId="3" fillId="0" borderId="0" xfId="7" applyFont="1">
      <alignment vertical="center"/>
    </xf>
    <xf numFmtId="0" fontId="6" fillId="0" borderId="0" xfId="7" applyFont="1">
      <alignment vertical="center"/>
    </xf>
    <xf numFmtId="38" fontId="14" fillId="0" borderId="0" xfId="8" applyFont="1" applyBorder="1" applyAlignment="1">
      <alignment horizontal="center" vertical="center"/>
    </xf>
    <xf numFmtId="38" fontId="14" fillId="0" borderId="0" xfId="8" applyFont="1" applyBorder="1" applyAlignment="1">
      <alignment horizontal="center" vertical="center" textRotation="255" wrapText="1"/>
    </xf>
    <xf numFmtId="38" fontId="14" fillId="0" borderId="0" xfId="8" applyFont="1" applyBorder="1" applyAlignment="1">
      <alignment horizontal="right" vertical="center"/>
    </xf>
    <xf numFmtId="38" fontId="14" fillId="0" borderId="11" xfId="8" applyFont="1" applyBorder="1" applyAlignment="1">
      <alignment horizontal="center" vertical="center" textRotation="255" wrapText="1"/>
    </xf>
    <xf numFmtId="38" fontId="14" fillId="0" borderId="23" xfId="8" applyFont="1" applyBorder="1" applyAlignment="1">
      <alignment horizontal="center" vertical="center" textRotation="255"/>
    </xf>
    <xf numFmtId="38" fontId="14" fillId="0" borderId="5" xfId="8" applyFont="1" applyBorder="1" applyAlignment="1">
      <alignment horizontal="center" vertical="center" textRotation="255" wrapText="1"/>
    </xf>
    <xf numFmtId="38" fontId="14" fillId="0" borderId="18" xfId="8" applyFont="1" applyBorder="1" applyAlignment="1">
      <alignment horizontal="distributed" vertical="center" textRotation="255" wrapText="1"/>
    </xf>
    <xf numFmtId="38" fontId="15" fillId="0" borderId="5" xfId="8" applyFont="1" applyBorder="1" applyAlignment="1">
      <alignment horizontal="center" vertical="center" textRotation="255" wrapText="1"/>
    </xf>
    <xf numFmtId="38" fontId="15" fillId="0" borderId="18" xfId="8" applyFont="1" applyBorder="1" applyAlignment="1">
      <alignment horizontal="center" vertical="top" textRotation="255" wrapText="1"/>
    </xf>
    <xf numFmtId="38" fontId="14" fillId="0" borderId="18" xfId="8" applyFont="1" applyBorder="1" applyAlignment="1">
      <alignment horizontal="left" vertical="center"/>
    </xf>
    <xf numFmtId="38" fontId="16" fillId="0" borderId="18" xfId="8" applyFont="1" applyBorder="1" applyAlignment="1">
      <alignment horizontal="right" vertical="center" shrinkToFit="1"/>
    </xf>
    <xf numFmtId="38" fontId="17" fillId="0" borderId="18" xfId="8" applyFont="1" applyBorder="1" applyAlignment="1">
      <alignment horizontal="right" vertical="center" shrinkToFit="1"/>
    </xf>
    <xf numFmtId="38" fontId="18" fillId="0" borderId="18" xfId="8" applyFont="1" applyBorder="1" applyAlignment="1">
      <alignment horizontal="right" vertical="center" shrinkToFit="1"/>
    </xf>
    <xf numFmtId="38" fontId="19" fillId="0" borderId="18" xfId="8" applyFont="1" applyBorder="1" applyAlignment="1">
      <alignment horizontal="right" vertical="center" shrinkToFit="1"/>
    </xf>
    <xf numFmtId="38" fontId="15" fillId="0" borderId="18" xfId="8" applyFont="1" applyBorder="1" applyAlignment="1">
      <alignment horizontal="left" vertical="center"/>
    </xf>
    <xf numFmtId="38" fontId="15" fillId="0" borderId="0" xfId="8" applyFont="1" applyBorder="1" applyAlignment="1">
      <alignment horizontal="center" vertical="center"/>
    </xf>
    <xf numFmtId="38" fontId="14" fillId="0" borderId="0" xfId="8" applyFont="1" applyBorder="1" applyAlignment="1">
      <alignment horizontal="left" vertical="top"/>
    </xf>
    <xf numFmtId="38" fontId="15" fillId="0" borderId="0" xfId="8" applyFont="1" applyAlignment="1">
      <alignment horizontal="right" vertical="top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3" applyFont="1" applyAlignment="1">
      <alignment horizontal="right"/>
    </xf>
    <xf numFmtId="0" fontId="9" fillId="0" borderId="34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7" xfId="1" applyFont="1" applyFill="1" applyBorder="1" applyAlignment="1">
      <alignment horizontal="distributed" vertical="center" justifyLastLine="1"/>
    </xf>
    <xf numFmtId="0" fontId="9" fillId="0" borderId="8" xfId="1" applyFont="1" applyFill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vertical="center"/>
    </xf>
    <xf numFmtId="176" fontId="9" fillId="0" borderId="25" xfId="6" applyNumberFormat="1" applyFont="1" applyBorder="1" applyAlignment="1">
      <alignment vertical="center"/>
    </xf>
    <xf numFmtId="176" fontId="9" fillId="0" borderId="55" xfId="6" applyNumberFormat="1" applyFont="1" applyBorder="1" applyAlignment="1">
      <alignment vertical="center"/>
    </xf>
    <xf numFmtId="176" fontId="9" fillId="0" borderId="55" xfId="3" applyNumberFormat="1" applyFont="1" applyBorder="1">
      <alignment vertical="center"/>
    </xf>
    <xf numFmtId="176" fontId="9" fillId="0" borderId="20" xfId="3" applyNumberFormat="1" applyFont="1" applyBorder="1">
      <alignment vertical="center"/>
    </xf>
    <xf numFmtId="176" fontId="9" fillId="0" borderId="20" xfId="6" applyNumberFormat="1" applyFont="1" applyBorder="1" applyAlignment="1">
      <alignment vertical="center"/>
    </xf>
    <xf numFmtId="0" fontId="6" fillId="0" borderId="0" xfId="3">
      <alignment vertical="center"/>
    </xf>
    <xf numFmtId="0" fontId="9" fillId="0" borderId="0" xfId="3" applyFont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0" fontId="9" fillId="0" borderId="57" xfId="3" applyFont="1" applyBorder="1" applyAlignment="1">
      <alignment horizontal="center" vertical="center" shrinkToFit="1"/>
    </xf>
    <xf numFmtId="0" fontId="9" fillId="0" borderId="10" xfId="3" applyFont="1" applyBorder="1" applyAlignment="1">
      <alignment horizontal="center" vertical="center" shrinkToFit="1"/>
    </xf>
    <xf numFmtId="0" fontId="9" fillId="0" borderId="36" xfId="3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0" borderId="58" xfId="3" applyFont="1" applyBorder="1" applyAlignment="1">
      <alignment horizontal="center" vertical="center" shrinkToFit="1"/>
    </xf>
    <xf numFmtId="0" fontId="9" fillId="0" borderId="5" xfId="3" applyFont="1" applyBorder="1" applyAlignment="1">
      <alignment horizontal="right" vertical="center" shrinkToFit="1"/>
    </xf>
    <xf numFmtId="0" fontId="9" fillId="0" borderId="42" xfId="3" applyFont="1" applyBorder="1" applyAlignment="1">
      <alignment horizontal="right" vertical="center" shrinkToFit="1"/>
    </xf>
    <xf numFmtId="0" fontId="9" fillId="0" borderId="16" xfId="3" applyFont="1" applyBorder="1" applyAlignment="1">
      <alignment horizontal="right" vertical="center" shrinkToFit="1"/>
    </xf>
    <xf numFmtId="0" fontId="9" fillId="0" borderId="38" xfId="3" applyFont="1" applyBorder="1" applyAlignment="1">
      <alignment horizontal="right" vertical="center" shrinkToFit="1"/>
    </xf>
    <xf numFmtId="0" fontId="9" fillId="0" borderId="23" xfId="3" applyFont="1" applyBorder="1" applyAlignment="1">
      <alignment horizontal="right" vertical="center" shrinkToFit="1"/>
    </xf>
    <xf numFmtId="0" fontId="9" fillId="0" borderId="43" xfId="3" applyFont="1" applyBorder="1" applyAlignment="1">
      <alignment horizontal="right" vertical="center" shrinkToFit="1"/>
    </xf>
    <xf numFmtId="0" fontId="9" fillId="0" borderId="5" xfId="3" applyFont="1" applyBorder="1" applyAlignment="1">
      <alignment horizontal="center" vertical="center"/>
    </xf>
    <xf numFmtId="38" fontId="9" fillId="0" borderId="5" xfId="6" applyFont="1" applyBorder="1" applyAlignment="1">
      <alignment horizontal="right" vertical="center" shrinkToFit="1"/>
    </xf>
    <xf numFmtId="38" fontId="9" fillId="0" borderId="23" xfId="6" applyFont="1" applyBorder="1" applyAlignment="1">
      <alignment horizontal="right" vertical="center"/>
    </xf>
    <xf numFmtId="0" fontId="9" fillId="0" borderId="18" xfId="3" applyFont="1" applyBorder="1" applyAlignment="1">
      <alignment horizontal="center" vertical="center" shrinkToFit="1"/>
    </xf>
    <xf numFmtId="38" fontId="9" fillId="0" borderId="25" xfId="6" applyFont="1" applyBorder="1" applyAlignment="1">
      <alignment horizontal="right" vertical="center"/>
    </xf>
    <xf numFmtId="38" fontId="9" fillId="0" borderId="20" xfId="6" applyFont="1" applyBorder="1" applyAlignment="1">
      <alignment horizontal="right" vertical="center"/>
    </xf>
    <xf numFmtId="38" fontId="9" fillId="0" borderId="24" xfId="6" applyFont="1" applyBorder="1" applyAlignment="1">
      <alignment horizontal="right" vertical="center"/>
    </xf>
    <xf numFmtId="38" fontId="9" fillId="0" borderId="56" xfId="6" applyFont="1" applyBorder="1" applyAlignment="1">
      <alignment horizontal="right" vertical="center"/>
    </xf>
    <xf numFmtId="38" fontId="9" fillId="0" borderId="18" xfId="6" applyFont="1" applyBorder="1" applyAlignment="1">
      <alignment horizontal="right" vertical="center"/>
    </xf>
    <xf numFmtId="38" fontId="9" fillId="0" borderId="62" xfId="6" applyFont="1" applyBorder="1" applyAlignment="1">
      <alignment horizontal="right" vertical="center"/>
    </xf>
    <xf numFmtId="38" fontId="9" fillId="0" borderId="5" xfId="6" applyFont="1" applyFill="1" applyBorder="1" applyAlignment="1">
      <alignment horizontal="right" vertical="center"/>
    </xf>
    <xf numFmtId="38" fontId="9" fillId="0" borderId="42" xfId="6" applyFont="1" applyFill="1" applyBorder="1" applyAlignment="1">
      <alignment horizontal="right" vertical="center"/>
    </xf>
    <xf numFmtId="38" fontId="9" fillId="0" borderId="43" xfId="6" applyFont="1" applyFill="1" applyBorder="1" applyAlignment="1">
      <alignment horizontal="right" vertical="center"/>
    </xf>
    <xf numFmtId="38" fontId="9" fillId="0" borderId="38" xfId="6" applyFont="1" applyFill="1" applyBorder="1" applyAlignment="1">
      <alignment horizontal="right" vertical="center"/>
    </xf>
    <xf numFmtId="38" fontId="9" fillId="0" borderId="16" xfId="6" applyFont="1" applyFill="1" applyBorder="1" applyAlignment="1">
      <alignment horizontal="right" vertical="center"/>
    </xf>
    <xf numFmtId="38" fontId="9" fillId="0" borderId="23" xfId="6" applyFont="1" applyFill="1" applyBorder="1" applyAlignment="1">
      <alignment horizontal="right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38" fontId="9" fillId="0" borderId="63" xfId="6" applyFont="1" applyFill="1" applyBorder="1" applyAlignment="1">
      <alignment horizontal="right" vertical="center"/>
    </xf>
    <xf numFmtId="0" fontId="9" fillId="0" borderId="17" xfId="3" applyFont="1" applyBorder="1" applyAlignment="1">
      <alignment vertical="center" shrinkToFit="1"/>
    </xf>
    <xf numFmtId="0" fontId="9" fillId="0" borderId="17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right"/>
    </xf>
    <xf numFmtId="0" fontId="9" fillId="0" borderId="18" xfId="3" applyFont="1" applyBorder="1" applyAlignment="1">
      <alignment horizontal="distributed" vertical="center" justifyLastLine="1" shrinkToFit="1"/>
    </xf>
    <xf numFmtId="0" fontId="9" fillId="0" borderId="18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 wrapText="1"/>
    </xf>
    <xf numFmtId="0" fontId="9" fillId="0" borderId="44" xfId="3" applyFont="1" applyBorder="1" applyAlignment="1">
      <alignment horizontal="center" vertical="center" shrinkToFit="1"/>
    </xf>
    <xf numFmtId="38" fontId="9" fillId="0" borderId="44" xfId="6" applyFont="1" applyBorder="1">
      <alignment vertical="center"/>
    </xf>
    <xf numFmtId="38" fontId="9" fillId="0" borderId="44" xfId="6" applyFont="1" applyBorder="1" applyAlignment="1">
      <alignment vertical="center"/>
    </xf>
    <xf numFmtId="38" fontId="9" fillId="0" borderId="44" xfId="6" applyFont="1" applyBorder="1" applyAlignment="1">
      <alignment horizontal="right" vertical="center"/>
    </xf>
    <xf numFmtId="0" fontId="9" fillId="0" borderId="47" xfId="3" applyFont="1" applyBorder="1" applyAlignment="1">
      <alignment horizontal="center" vertical="center" shrinkToFit="1"/>
    </xf>
    <xf numFmtId="38" fontId="9" fillId="0" borderId="47" xfId="6" applyFont="1" applyBorder="1">
      <alignment vertical="center"/>
    </xf>
    <xf numFmtId="38" fontId="9" fillId="0" borderId="47" xfId="6" applyFont="1" applyBorder="1" applyAlignment="1">
      <alignment vertical="center"/>
    </xf>
    <xf numFmtId="38" fontId="9" fillId="0" borderId="47" xfId="6" applyFont="1" applyBorder="1" applyAlignment="1">
      <alignment horizontal="right" vertical="center"/>
    </xf>
    <xf numFmtId="38" fontId="9" fillId="0" borderId="44" xfId="6" applyFont="1" applyBorder="1" applyAlignment="1">
      <alignment vertical="center" shrinkToFit="1"/>
    </xf>
    <xf numFmtId="38" fontId="9" fillId="0" borderId="44" xfId="6" applyFont="1" applyBorder="1" applyAlignment="1">
      <alignment horizontal="right" vertical="center" shrinkToFit="1"/>
    </xf>
    <xf numFmtId="38" fontId="9" fillId="0" borderId="47" xfId="6" applyFont="1" applyBorder="1" applyAlignment="1">
      <alignment vertical="center" shrinkToFit="1"/>
    </xf>
    <xf numFmtId="38" fontId="9" fillId="0" borderId="47" xfId="6" applyFont="1" applyBorder="1" applyAlignment="1">
      <alignment horizontal="right" vertical="center" shrinkToFit="1"/>
    </xf>
    <xf numFmtId="38" fontId="9" fillId="0" borderId="44" xfId="6" applyFont="1" applyFill="1" applyBorder="1" applyAlignment="1">
      <alignment vertical="center" shrinkToFit="1"/>
    </xf>
    <xf numFmtId="38" fontId="9" fillId="0" borderId="44" xfId="6" applyFont="1" applyFill="1" applyBorder="1" applyAlignment="1">
      <alignment horizontal="right" vertical="center" shrinkToFit="1"/>
    </xf>
    <xf numFmtId="38" fontId="9" fillId="0" borderId="47" xfId="6" applyFont="1" applyFill="1" applyBorder="1" applyAlignment="1">
      <alignment vertical="center" shrinkToFit="1"/>
    </xf>
    <xf numFmtId="38" fontId="9" fillId="0" borderId="47" xfId="6" applyFont="1" applyFill="1" applyBorder="1" applyAlignment="1">
      <alignment horizontal="right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4" xfId="3" applyFont="1" applyBorder="1" applyAlignment="1">
      <alignment horizontal="center" vertical="center" shrinkToFit="1"/>
    </xf>
    <xf numFmtId="38" fontId="9" fillId="0" borderId="18" xfId="6" applyFont="1" applyFill="1" applyBorder="1" applyAlignment="1">
      <alignment vertical="center" shrinkToFit="1"/>
    </xf>
    <xf numFmtId="0" fontId="9" fillId="0" borderId="19" xfId="3" applyFont="1" applyFill="1" applyBorder="1" applyAlignment="1">
      <alignment horizontal="center" vertical="center" shrinkToFit="1"/>
    </xf>
    <xf numFmtId="0" fontId="9" fillId="0" borderId="24" xfId="3" applyFont="1" applyFill="1" applyBorder="1" applyAlignment="1">
      <alignment horizontal="center" vertical="center" shrinkToFit="1"/>
    </xf>
    <xf numFmtId="38" fontId="9" fillId="0" borderId="0" xfId="3" applyNumberFormat="1" applyFont="1" applyFill="1" applyAlignment="1">
      <alignment vertical="center"/>
    </xf>
    <xf numFmtId="38" fontId="9" fillId="0" borderId="0" xfId="3" applyNumberFormat="1" applyFont="1" applyAlignment="1">
      <alignment vertical="center"/>
    </xf>
    <xf numFmtId="38" fontId="9" fillId="0" borderId="0" xfId="3" applyNumberFormat="1" applyFont="1">
      <alignment vertical="center"/>
    </xf>
    <xf numFmtId="0" fontId="21" fillId="0" borderId="0" xfId="3" applyFont="1" applyAlignment="1">
      <alignment vertical="center"/>
    </xf>
    <xf numFmtId="0" fontId="9" fillId="0" borderId="0" xfId="3" applyFont="1" applyFill="1" applyAlignment="1">
      <alignment vertical="center" shrinkToFit="1"/>
    </xf>
    <xf numFmtId="176" fontId="9" fillId="0" borderId="0" xfId="3" applyNumberFormat="1" applyFont="1" applyFill="1">
      <alignment vertical="center"/>
    </xf>
    <xf numFmtId="0" fontId="6" fillId="0" borderId="0" xfId="3" quotePrefix="1" applyFill="1">
      <alignment vertical="center"/>
    </xf>
    <xf numFmtId="0" fontId="9" fillId="0" borderId="0" xfId="1" applyFont="1" applyAlignment="1">
      <alignment horizontal="right"/>
    </xf>
    <xf numFmtId="176" fontId="9" fillId="0" borderId="36" xfId="1" applyNumberFormat="1" applyFont="1" applyBorder="1" applyAlignment="1">
      <alignment horizontal="distributed" vertical="center" justifyLastLine="1"/>
    </xf>
    <xf numFmtId="176" fontId="9" fillId="0" borderId="64" xfId="1" applyNumberFormat="1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distributed" vertical="center" justifyLastLine="1"/>
    </xf>
    <xf numFmtId="0" fontId="9" fillId="0" borderId="55" xfId="1" applyFont="1" applyBorder="1" applyAlignment="1">
      <alignment horizontal="distributed" vertical="center" wrapText="1" justifyLastLine="1"/>
    </xf>
    <xf numFmtId="0" fontId="9" fillId="0" borderId="20" xfId="1" applyFont="1" applyBorder="1" applyAlignment="1">
      <alignment horizontal="distributed" vertical="center" wrapText="1" justifyLastLine="1"/>
    </xf>
    <xf numFmtId="0" fontId="22" fillId="0" borderId="65" xfId="3" applyFont="1" applyFill="1" applyBorder="1" applyAlignment="1">
      <alignment horizontal="center" vertical="center" shrinkToFit="1"/>
    </xf>
    <xf numFmtId="0" fontId="22" fillId="0" borderId="66" xfId="3" applyFont="1" applyFill="1" applyBorder="1" applyAlignment="1">
      <alignment horizontal="center" vertical="center" wrapText="1"/>
    </xf>
    <xf numFmtId="0" fontId="9" fillId="0" borderId="66" xfId="3" applyFont="1" applyFill="1" applyBorder="1" applyAlignment="1">
      <alignment vertical="center" shrinkToFit="1"/>
    </xf>
    <xf numFmtId="0" fontId="9" fillId="0" borderId="66" xfId="1" applyFont="1" applyBorder="1" applyAlignment="1">
      <alignment vertical="center" shrinkToFit="1"/>
    </xf>
    <xf numFmtId="0" fontId="9" fillId="0" borderId="67" xfId="1" applyFont="1" applyBorder="1" applyAlignment="1">
      <alignment vertical="center" shrinkToFit="1"/>
    </xf>
    <xf numFmtId="38" fontId="9" fillId="0" borderId="68" xfId="6" applyFont="1" applyFill="1" applyBorder="1" applyAlignment="1">
      <alignment horizontal="right" vertical="center" wrapText="1"/>
    </xf>
    <xf numFmtId="38" fontId="9" fillId="0" borderId="69" xfId="6" applyFont="1" applyFill="1" applyBorder="1" applyAlignment="1">
      <alignment vertical="center" wrapText="1"/>
    </xf>
    <xf numFmtId="38" fontId="9" fillId="0" borderId="68" xfId="6" applyFont="1" applyBorder="1" applyAlignment="1">
      <alignment horizontal="right" vertical="center"/>
    </xf>
    <xf numFmtId="38" fontId="9" fillId="0" borderId="70" xfId="6" applyFont="1" applyBorder="1" applyAlignment="1">
      <alignment horizontal="right" vertical="center"/>
    </xf>
    <xf numFmtId="38" fontId="9" fillId="0" borderId="71" xfId="6" applyFont="1" applyBorder="1" applyAlignment="1">
      <alignment horizontal="right" vertical="center"/>
    </xf>
    <xf numFmtId="0" fontId="22" fillId="0" borderId="72" xfId="3" applyFont="1" applyFill="1" applyBorder="1" applyAlignment="1">
      <alignment horizontal="center" vertical="center" wrapText="1"/>
    </xf>
    <xf numFmtId="0" fontId="22" fillId="0" borderId="72" xfId="3" applyFont="1" applyFill="1" applyBorder="1" applyAlignment="1">
      <alignment vertical="center" shrinkToFit="1"/>
    </xf>
    <xf numFmtId="0" fontId="9" fillId="0" borderId="72" xfId="3" applyFont="1" applyFill="1" applyBorder="1" applyAlignment="1">
      <alignment vertical="center" shrinkToFit="1"/>
    </xf>
    <xf numFmtId="0" fontId="9" fillId="0" borderId="73" xfId="3" applyFont="1" applyFill="1" applyBorder="1" applyAlignment="1">
      <alignment vertical="center" shrinkToFit="1"/>
    </xf>
    <xf numFmtId="38" fontId="9" fillId="0" borderId="74" xfId="6" applyFont="1" applyFill="1" applyBorder="1" applyAlignment="1">
      <alignment vertical="center" wrapText="1"/>
    </xf>
    <xf numFmtId="38" fontId="9" fillId="0" borderId="75" xfId="6" applyFont="1" applyFill="1" applyBorder="1" applyAlignment="1">
      <alignment vertical="center" wrapText="1"/>
    </xf>
    <xf numFmtId="38" fontId="9" fillId="0" borderId="74" xfId="6" applyFont="1" applyBorder="1" applyAlignment="1">
      <alignment horizontal="right" vertical="center"/>
    </xf>
    <xf numFmtId="38" fontId="9" fillId="0" borderId="76" xfId="6" applyFont="1" applyBorder="1" applyAlignment="1">
      <alignment horizontal="right" vertical="center"/>
    </xf>
    <xf numFmtId="38" fontId="9" fillId="0" borderId="75" xfId="6" applyFont="1" applyBorder="1" applyAlignment="1">
      <alignment horizontal="right" vertical="center"/>
    </xf>
    <xf numFmtId="0" fontId="22" fillId="0" borderId="77" xfId="3" applyFont="1" applyFill="1" applyBorder="1" applyAlignment="1">
      <alignment horizontal="center" vertical="center" shrinkToFit="1"/>
    </xf>
    <xf numFmtId="0" fontId="22" fillId="0" borderId="78" xfId="3" applyFont="1" applyFill="1" applyBorder="1" applyAlignment="1">
      <alignment horizontal="center" vertical="center" wrapText="1"/>
    </xf>
    <xf numFmtId="0" fontId="22" fillId="0" borderId="78" xfId="3" applyFont="1" applyFill="1" applyBorder="1" applyAlignment="1">
      <alignment vertical="center" shrinkToFit="1"/>
    </xf>
    <xf numFmtId="0" fontId="9" fillId="0" borderId="78" xfId="3" applyFont="1" applyFill="1" applyBorder="1" applyAlignment="1">
      <alignment vertical="center" shrinkToFit="1"/>
    </xf>
    <xf numFmtId="0" fontId="9" fillId="0" borderId="79" xfId="3" applyFont="1" applyFill="1" applyBorder="1" applyAlignment="1">
      <alignment vertical="center" shrinkToFit="1"/>
    </xf>
    <xf numFmtId="38" fontId="9" fillId="0" borderId="80" xfId="6" applyFont="1" applyFill="1" applyBorder="1" applyAlignment="1">
      <alignment vertical="center" wrapText="1"/>
    </xf>
    <xf numFmtId="38" fontId="9" fillId="0" borderId="81" xfId="6" applyFont="1" applyFill="1" applyBorder="1" applyAlignment="1">
      <alignment vertical="center" wrapText="1"/>
    </xf>
    <xf numFmtId="38" fontId="9" fillId="0" borderId="80" xfId="6" applyFont="1" applyBorder="1" applyAlignment="1">
      <alignment horizontal="right" vertical="center"/>
    </xf>
    <xf numFmtId="38" fontId="9" fillId="0" borderId="82" xfId="6" applyFont="1" applyBorder="1" applyAlignment="1">
      <alignment horizontal="right" vertical="center"/>
    </xf>
    <xf numFmtId="38" fontId="9" fillId="0" borderId="81" xfId="6" applyFont="1" applyBorder="1" applyAlignment="1">
      <alignment horizontal="right" vertical="center"/>
    </xf>
    <xf numFmtId="0" fontId="22" fillId="0" borderId="84" xfId="3" applyFont="1" applyFill="1" applyBorder="1" applyAlignment="1">
      <alignment horizontal="center" vertical="center" wrapText="1"/>
    </xf>
    <xf numFmtId="0" fontId="22" fillId="0" borderId="84" xfId="3" applyFont="1" applyFill="1" applyBorder="1" applyAlignment="1">
      <alignment vertical="center" shrinkToFit="1"/>
    </xf>
    <xf numFmtId="0" fontId="9" fillId="0" borderId="84" xfId="1" applyFont="1" applyBorder="1" applyAlignment="1">
      <alignment vertical="center" shrinkToFit="1"/>
    </xf>
    <xf numFmtId="0" fontId="9" fillId="0" borderId="85" xfId="1" applyFont="1" applyBorder="1" applyAlignment="1">
      <alignment vertical="center" shrinkToFit="1"/>
    </xf>
    <xf numFmtId="38" fontId="9" fillId="0" borderId="68" xfId="6" applyFont="1" applyBorder="1" applyAlignment="1">
      <alignment vertical="center"/>
    </xf>
    <xf numFmtId="38" fontId="9" fillId="0" borderId="69" xfId="6" applyFont="1" applyBorder="1" applyAlignment="1">
      <alignment vertical="center"/>
    </xf>
    <xf numFmtId="38" fontId="9" fillId="0" borderId="86" xfId="6" applyFont="1" applyBorder="1" applyAlignment="1">
      <alignment horizontal="right" vertical="center"/>
    </xf>
    <xf numFmtId="38" fontId="9" fillId="0" borderId="69" xfId="6" applyFont="1" applyBorder="1" applyAlignment="1">
      <alignment horizontal="right" vertical="center"/>
    </xf>
    <xf numFmtId="0" fontId="9" fillId="0" borderId="72" xfId="1" applyFont="1" applyBorder="1" applyAlignment="1">
      <alignment vertical="center" shrinkToFit="1"/>
    </xf>
    <xf numFmtId="0" fontId="9" fillId="0" borderId="73" xfId="1" applyFont="1" applyBorder="1" applyAlignment="1">
      <alignment vertical="center" shrinkToFit="1"/>
    </xf>
    <xf numFmtId="38" fontId="9" fillId="0" borderId="74" xfId="6" applyFont="1" applyBorder="1" applyAlignment="1">
      <alignment vertical="center"/>
    </xf>
    <xf numFmtId="38" fontId="9" fillId="0" borderId="75" xfId="6" applyFont="1" applyBorder="1" applyAlignment="1">
      <alignment vertical="center"/>
    </xf>
    <xf numFmtId="38" fontId="9" fillId="0" borderId="76" xfId="6" applyFont="1" applyBorder="1" applyAlignment="1">
      <alignment vertical="center"/>
    </xf>
    <xf numFmtId="38" fontId="9" fillId="0" borderId="80" xfId="6" applyFont="1" applyBorder="1" applyAlignment="1">
      <alignment vertical="center"/>
    </xf>
    <xf numFmtId="38" fontId="9" fillId="0" borderId="82" xfId="6" applyFont="1" applyBorder="1" applyAlignment="1">
      <alignment vertical="center"/>
    </xf>
    <xf numFmtId="38" fontId="9" fillId="0" borderId="81" xfId="6" applyFont="1" applyBorder="1" applyAlignment="1">
      <alignment vertical="center"/>
    </xf>
    <xf numFmtId="0" fontId="9" fillId="0" borderId="84" xfId="3" applyFont="1" applyFill="1" applyBorder="1" applyAlignment="1">
      <alignment vertical="center" shrinkToFit="1"/>
    </xf>
    <xf numFmtId="0" fontId="9" fillId="0" borderId="85" xfId="3" applyFont="1" applyFill="1" applyBorder="1" applyAlignment="1">
      <alignment vertical="center" shrinkToFit="1"/>
    </xf>
    <xf numFmtId="38" fontId="9" fillId="0" borderId="68" xfId="6" applyFont="1" applyFill="1" applyBorder="1" applyAlignment="1">
      <alignment vertical="center" wrapText="1"/>
    </xf>
    <xf numFmtId="38" fontId="9" fillId="0" borderId="86" xfId="6" applyFont="1" applyBorder="1" applyAlignment="1">
      <alignment vertical="center"/>
    </xf>
    <xf numFmtId="38" fontId="9" fillId="0" borderId="74" xfId="6" applyFont="1" applyBorder="1">
      <alignment vertical="center"/>
    </xf>
    <xf numFmtId="38" fontId="9" fillId="0" borderId="76" xfId="6" applyFont="1" applyBorder="1">
      <alignment vertical="center"/>
    </xf>
    <xf numFmtId="38" fontId="9" fillId="0" borderId="75" xfId="6" applyFont="1" applyBorder="1">
      <alignment vertical="center"/>
    </xf>
    <xf numFmtId="38" fontId="9" fillId="0" borderId="88" xfId="6" applyFont="1" applyFill="1" applyBorder="1" applyAlignment="1">
      <alignment vertical="center" wrapText="1"/>
    </xf>
    <xf numFmtId="38" fontId="9" fillId="0" borderId="89" xfId="6" applyFont="1" applyFill="1" applyBorder="1" applyAlignment="1">
      <alignment vertical="center" wrapText="1"/>
    </xf>
    <xf numFmtId="38" fontId="9" fillId="0" borderId="80" xfId="6" applyFont="1" applyBorder="1">
      <alignment vertical="center"/>
    </xf>
    <xf numFmtId="38" fontId="9" fillId="0" borderId="82" xfId="6" applyFont="1" applyBorder="1">
      <alignment vertical="center"/>
    </xf>
    <xf numFmtId="38" fontId="9" fillId="0" borderId="81" xfId="6" applyFont="1" applyBorder="1">
      <alignment vertical="center"/>
    </xf>
    <xf numFmtId="38" fontId="24" fillId="0" borderId="0" xfId="3" applyNumberFormat="1" applyFont="1">
      <alignment vertical="center"/>
    </xf>
    <xf numFmtId="0" fontId="9" fillId="0" borderId="38" xfId="3" applyFont="1" applyBorder="1" applyAlignment="1">
      <alignment horizontal="distributed" vertical="center" justifyLastLine="1"/>
    </xf>
    <xf numFmtId="0" fontId="9" fillId="0" borderId="23" xfId="3" applyFont="1" applyBorder="1" applyAlignment="1">
      <alignment horizontal="distributed" vertical="center" justifyLastLine="1"/>
    </xf>
    <xf numFmtId="177" fontId="10" fillId="0" borderId="1" xfId="3" applyNumberFormat="1" applyFont="1" applyBorder="1" applyAlignment="1">
      <alignment vertical="center"/>
    </xf>
    <xf numFmtId="177" fontId="10" fillId="0" borderId="36" xfId="3" applyNumberFormat="1" applyFont="1" applyBorder="1" applyAlignment="1">
      <alignment vertical="center"/>
    </xf>
    <xf numFmtId="177" fontId="10" fillId="0" borderId="10" xfId="3" applyNumberFormat="1" applyFont="1" applyBorder="1" applyAlignment="1">
      <alignment vertical="center"/>
    </xf>
    <xf numFmtId="177" fontId="9" fillId="0" borderId="0" xfId="3" applyNumberFormat="1" applyFont="1">
      <alignment vertical="center"/>
    </xf>
    <xf numFmtId="177" fontId="9" fillId="0" borderId="11" xfId="3" applyNumberFormat="1" applyFont="1" applyBorder="1">
      <alignment vertical="center"/>
    </xf>
    <xf numFmtId="177" fontId="9" fillId="0" borderId="39" xfId="3" applyNumberFormat="1" applyFont="1" applyBorder="1">
      <alignment vertical="center"/>
    </xf>
    <xf numFmtId="177" fontId="9" fillId="0" borderId="14" xfId="3" applyNumberFormat="1" applyFont="1" applyBorder="1">
      <alignment vertical="center"/>
    </xf>
    <xf numFmtId="177" fontId="9" fillId="0" borderId="5" xfId="3" applyNumberFormat="1" applyFont="1" applyBorder="1">
      <alignment vertical="center"/>
    </xf>
    <xf numFmtId="177" fontId="9" fillId="0" borderId="38" xfId="3" applyNumberFormat="1" applyFont="1" applyBorder="1">
      <alignment vertical="center"/>
    </xf>
    <xf numFmtId="177" fontId="9" fillId="0" borderId="16" xfId="3" applyNumberFormat="1" applyFont="1" applyBorder="1">
      <alignment vertical="center"/>
    </xf>
    <xf numFmtId="177" fontId="9" fillId="0" borderId="11" xfId="3" applyNumberFormat="1" applyFont="1" applyBorder="1" applyAlignment="1">
      <alignment vertical="center"/>
    </xf>
    <xf numFmtId="177" fontId="9" fillId="0" borderId="5" xfId="3" applyNumberFormat="1" applyFont="1" applyBorder="1" applyAlignment="1">
      <alignment vertical="center"/>
    </xf>
    <xf numFmtId="177" fontId="9" fillId="0" borderId="11" xfId="3" applyNumberFormat="1" applyFont="1" applyBorder="1" applyAlignment="1">
      <alignment horizontal="right" vertical="center"/>
    </xf>
    <xf numFmtId="177" fontId="9" fillId="0" borderId="5" xfId="3" applyNumberFormat="1" applyFont="1" applyBorder="1" applyAlignment="1">
      <alignment horizontal="right" vertical="center"/>
    </xf>
    <xf numFmtId="177" fontId="9" fillId="0" borderId="11" xfId="6" applyNumberFormat="1" applyFont="1" applyBorder="1">
      <alignment vertical="center"/>
    </xf>
    <xf numFmtId="177" fontId="9" fillId="0" borderId="0" xfId="6" applyNumberFormat="1" applyFont="1" applyBorder="1">
      <alignment vertical="center"/>
    </xf>
    <xf numFmtId="177" fontId="9" fillId="0" borderId="14" xfId="6" applyNumberFormat="1" applyFont="1" applyBorder="1">
      <alignment vertical="center"/>
    </xf>
    <xf numFmtId="177" fontId="9" fillId="0" borderId="22" xfId="6" applyNumberFormat="1" applyFont="1" applyBorder="1">
      <alignment vertical="center"/>
    </xf>
    <xf numFmtId="177" fontId="9" fillId="0" borderId="22" xfId="6" applyNumberFormat="1" applyFont="1" applyBorder="1" applyAlignment="1">
      <alignment horizontal="right" vertical="center"/>
    </xf>
    <xf numFmtId="177" fontId="10" fillId="0" borderId="2" xfId="3" applyNumberFormat="1" applyFont="1" applyBorder="1" applyAlignment="1">
      <alignment vertical="center"/>
    </xf>
    <xf numFmtId="177" fontId="9" fillId="0" borderId="12" xfId="3" applyNumberFormat="1" applyFont="1" applyBorder="1">
      <alignment vertical="center"/>
    </xf>
    <xf numFmtId="178" fontId="9" fillId="0" borderId="22" xfId="6" applyNumberFormat="1" applyFont="1" applyBorder="1" applyAlignment="1">
      <alignment horizontal="right" vertical="center"/>
    </xf>
    <xf numFmtId="0" fontId="10" fillId="0" borderId="18" xfId="3" applyFont="1" applyBorder="1">
      <alignment vertical="center"/>
    </xf>
    <xf numFmtId="0" fontId="10" fillId="0" borderId="25" xfId="3" applyFont="1" applyBorder="1">
      <alignment vertical="center"/>
    </xf>
    <xf numFmtId="0" fontId="10" fillId="0" borderId="20" xfId="3" applyFont="1" applyBorder="1">
      <alignment vertical="center"/>
    </xf>
    <xf numFmtId="0" fontId="25" fillId="0" borderId="0" xfId="3" applyFont="1">
      <alignment vertical="center"/>
    </xf>
    <xf numFmtId="177" fontId="10" fillId="0" borderId="18" xfId="3" applyNumberFormat="1" applyFont="1" applyBorder="1" applyAlignment="1">
      <alignment vertical="center"/>
    </xf>
    <xf numFmtId="177" fontId="10" fillId="0" borderId="19" xfId="3" applyNumberFormat="1" applyFont="1" applyBorder="1" applyAlignment="1">
      <alignment vertical="center"/>
    </xf>
    <xf numFmtId="177" fontId="10" fillId="0" borderId="20" xfId="3" applyNumberFormat="1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1" xfId="3" applyFont="1" applyBorder="1" applyAlignment="1">
      <alignment horizontal="distributed" vertical="center" justifyLastLine="1"/>
    </xf>
    <xf numFmtId="0" fontId="9" fillId="0" borderId="5" xfId="3" applyFont="1" applyBorder="1" applyAlignment="1">
      <alignment horizontal="distributed" vertical="center" justifyLastLine="1"/>
    </xf>
    <xf numFmtId="0" fontId="9" fillId="0" borderId="26" xfId="3" applyFont="1" applyBorder="1" applyAlignment="1">
      <alignment horizontal="distributed" vertical="center" justifyLastLine="1"/>
    </xf>
    <xf numFmtId="0" fontId="9" fillId="0" borderId="41" xfId="3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 justifyLastLine="1"/>
    </xf>
    <xf numFmtId="0" fontId="9" fillId="0" borderId="83" xfId="3" applyFont="1" applyFill="1" applyBorder="1" applyAlignment="1">
      <alignment horizontal="center" vertical="center" wrapText="1" shrinkToFit="1"/>
    </xf>
    <xf numFmtId="0" fontId="22" fillId="0" borderId="65" xfId="3" applyFont="1" applyFill="1" applyBorder="1" applyAlignment="1">
      <alignment horizontal="center" vertical="center" shrinkToFit="1"/>
    </xf>
    <xf numFmtId="0" fontId="22" fillId="0" borderId="77" xfId="3" applyFont="1" applyFill="1" applyBorder="1" applyAlignment="1">
      <alignment horizontal="center" vertical="center" shrinkToFit="1"/>
    </xf>
    <xf numFmtId="0" fontId="22" fillId="0" borderId="83" xfId="3" applyFont="1" applyFill="1" applyBorder="1" applyAlignment="1">
      <alignment horizontal="center" vertical="center" shrinkToFit="1"/>
    </xf>
    <xf numFmtId="0" fontId="22" fillId="0" borderId="87" xfId="3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distributed" vertical="center" wrapText="1" justifyLastLine="1"/>
    </xf>
    <xf numFmtId="0" fontId="22" fillId="0" borderId="5" xfId="3" applyFont="1" applyFill="1" applyBorder="1" applyAlignment="1">
      <alignment horizontal="distributed" vertical="center" wrapText="1" justifyLastLine="1"/>
    </xf>
    <xf numFmtId="0" fontId="9" fillId="0" borderId="1" xfId="3" applyFont="1" applyFill="1" applyBorder="1" applyAlignment="1">
      <alignment horizontal="center" vertical="center" wrapText="1" shrinkToFit="1"/>
    </xf>
    <xf numFmtId="0" fontId="22" fillId="0" borderId="5" xfId="3" applyFont="1" applyFill="1" applyBorder="1" applyAlignment="1">
      <alignment horizontal="center" vertical="center" shrinkToFit="1"/>
    </xf>
    <xf numFmtId="0" fontId="22" fillId="0" borderId="18" xfId="3" applyFont="1" applyFill="1" applyBorder="1" applyAlignment="1">
      <alignment horizontal="distributed" vertical="center" justifyLastLine="1" shrinkToFit="1"/>
    </xf>
    <xf numFmtId="176" fontId="9" fillId="0" borderId="18" xfId="3" applyNumberFormat="1" applyFont="1" applyFill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 shrinkToFit="1"/>
    </xf>
    <xf numFmtId="0" fontId="9" fillId="0" borderId="5" xfId="3" applyFont="1" applyBorder="1" applyAlignment="1">
      <alignment horizontal="center" vertical="center" shrinkToFit="1"/>
    </xf>
    <xf numFmtId="38" fontId="9" fillId="0" borderId="1" xfId="6" applyFont="1" applyFill="1" applyBorder="1" applyAlignment="1">
      <alignment horizontal="right" vertical="center" shrinkToFit="1"/>
    </xf>
    <xf numFmtId="38" fontId="9" fillId="0" borderId="5" xfId="6" applyFont="1" applyFill="1" applyBorder="1" applyAlignment="1">
      <alignment horizontal="right" vertical="center" shrinkToFit="1"/>
    </xf>
    <xf numFmtId="0" fontId="9" fillId="0" borderId="11" xfId="3" applyFont="1" applyBorder="1" applyAlignment="1">
      <alignment horizontal="center" vertical="center" shrinkToFit="1"/>
    </xf>
    <xf numFmtId="0" fontId="9" fillId="0" borderId="24" xfId="3" applyFont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1" xfId="1" applyFont="1" applyBorder="1" applyAlignment="1">
      <alignment horizontal="distributed" vertical="center" justifyLastLine="1"/>
    </xf>
    <xf numFmtId="0" fontId="9" fillId="0" borderId="5" xfId="1" applyFont="1" applyBorder="1" applyAlignment="1">
      <alignment horizontal="distributed" vertical="center" justifyLastLine="1"/>
    </xf>
    <xf numFmtId="0" fontId="9" fillId="0" borderId="1" xfId="1" applyFont="1" applyBorder="1" applyAlignment="1">
      <alignment horizontal="center" vertical="center" justifyLastLine="1"/>
    </xf>
    <xf numFmtId="0" fontId="9" fillId="0" borderId="5" xfId="1" applyFont="1" applyBorder="1" applyAlignment="1">
      <alignment horizontal="center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38" fontId="14" fillId="0" borderId="1" xfId="8" applyFont="1" applyBorder="1" applyAlignment="1">
      <alignment horizontal="center" vertical="center"/>
    </xf>
    <xf numFmtId="38" fontId="14" fillId="0" borderId="11" xfId="8" applyFont="1" applyBorder="1" applyAlignment="1">
      <alignment horizontal="center" vertical="center"/>
    </xf>
    <xf numFmtId="38" fontId="14" fillId="0" borderId="5" xfId="8" applyFont="1" applyBorder="1" applyAlignment="1">
      <alignment horizontal="center" vertical="center"/>
    </xf>
    <xf numFmtId="38" fontId="14" fillId="0" borderId="2" xfId="8" applyFont="1" applyBorder="1" applyAlignment="1">
      <alignment horizontal="center" vertical="center"/>
    </xf>
    <xf numFmtId="38" fontId="14" fillId="0" borderId="3" xfId="8" applyFont="1" applyBorder="1" applyAlignment="1">
      <alignment horizontal="center" vertical="center"/>
    </xf>
    <xf numFmtId="38" fontId="14" fillId="0" borderId="4" xfId="8" applyFont="1" applyBorder="1" applyAlignment="1">
      <alignment horizontal="center" vertical="center"/>
    </xf>
    <xf numFmtId="38" fontId="15" fillId="0" borderId="2" xfId="8" applyFont="1" applyBorder="1" applyAlignment="1">
      <alignment horizontal="center" vertical="center"/>
    </xf>
    <xf numFmtId="38" fontId="15" fillId="0" borderId="3" xfId="8" applyFont="1" applyBorder="1" applyAlignment="1">
      <alignment horizontal="center" vertical="center"/>
    </xf>
    <xf numFmtId="38" fontId="15" fillId="0" borderId="4" xfId="8" applyFont="1" applyBorder="1" applyAlignment="1">
      <alignment horizontal="center" vertical="center"/>
    </xf>
    <xf numFmtId="0" fontId="9" fillId="0" borderId="38" xfId="3" applyFont="1" applyBorder="1" applyAlignment="1">
      <alignment horizontal="distributed" vertical="center" justifyLastLine="1"/>
    </xf>
    <xf numFmtId="0" fontId="9" fillId="0" borderId="25" xfId="3" applyFont="1" applyBorder="1" applyAlignment="1">
      <alignment horizontal="distributed" vertical="center" justifyLastLine="1"/>
    </xf>
    <xf numFmtId="0" fontId="9" fillId="0" borderId="15" xfId="3" applyFont="1" applyBorder="1" applyAlignment="1">
      <alignment horizontal="distributed" vertical="center" justifyLastLine="1"/>
    </xf>
    <xf numFmtId="0" fontId="9" fillId="0" borderId="55" xfId="3" applyFont="1" applyBorder="1" applyAlignment="1">
      <alignment horizontal="distributed" vertical="center" justifyLastLine="1"/>
    </xf>
    <xf numFmtId="0" fontId="9" fillId="0" borderId="54" xfId="3" applyFont="1" applyBorder="1" applyAlignment="1">
      <alignment horizontal="distributed" vertical="center" wrapText="1" justifyLastLine="1"/>
    </xf>
    <xf numFmtId="0" fontId="9" fillId="0" borderId="15" xfId="3" applyFont="1" applyBorder="1" applyAlignment="1">
      <alignment horizontal="distributed" vertical="center" wrapText="1" justifyLastLine="1"/>
    </xf>
    <xf numFmtId="0" fontId="9" fillId="0" borderId="13" xfId="3" applyFont="1" applyBorder="1" applyAlignment="1">
      <alignment horizontal="distributed" vertical="center" wrapText="1" justifyLastLine="1" shrinkToFit="1"/>
    </xf>
    <xf numFmtId="0" fontId="9" fillId="0" borderId="15" xfId="3" applyFont="1" applyBorder="1" applyAlignment="1">
      <alignment horizontal="distributed" vertical="center" wrapText="1" justifyLastLine="1" shrinkToFit="1"/>
    </xf>
    <xf numFmtId="0" fontId="9" fillId="0" borderId="16" xfId="3" applyFont="1" applyBorder="1" applyAlignment="1">
      <alignment horizontal="distributed" vertical="center" wrapText="1" justifyLastLine="1"/>
    </xf>
    <xf numFmtId="0" fontId="9" fillId="0" borderId="20" xfId="3" applyFont="1" applyBorder="1" applyAlignment="1">
      <alignment horizontal="distributed" vertical="center" wrapText="1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distributed" vertical="center" justifyLastLine="1"/>
    </xf>
    <xf numFmtId="0" fontId="9" fillId="0" borderId="40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 justifyLastLine="1"/>
    </xf>
    <xf numFmtId="0" fontId="9" fillId="0" borderId="40" xfId="3" applyFont="1" applyBorder="1" applyAlignment="1">
      <alignment horizontal="center" vertical="center" justifyLastLine="1"/>
    </xf>
    <xf numFmtId="0" fontId="9" fillId="0" borderId="41" xfId="3" applyFont="1" applyBorder="1" applyAlignment="1">
      <alignment horizontal="center" vertical="center" justifyLastLine="1"/>
    </xf>
    <xf numFmtId="0" fontId="9" fillId="0" borderId="39" xfId="3" applyFont="1" applyBorder="1" applyAlignment="1">
      <alignment horizontal="distributed" vertical="center" justifyLastLine="1"/>
    </xf>
    <xf numFmtId="0" fontId="9" fillId="0" borderId="51" xfId="3" applyFont="1" applyBorder="1" applyAlignment="1">
      <alignment horizontal="distributed" vertical="center" justifyLastLine="1"/>
    </xf>
    <xf numFmtId="0" fontId="9" fillId="0" borderId="52" xfId="3" applyFont="1" applyBorder="1" applyAlignment="1">
      <alignment horizontal="distributed" vertical="center" justifyLastLine="1"/>
    </xf>
    <xf numFmtId="0" fontId="9" fillId="0" borderId="53" xfId="3" applyFont="1" applyBorder="1" applyAlignment="1">
      <alignment horizontal="distributed" vertical="center" justifyLastLine="1"/>
    </xf>
    <xf numFmtId="0" fontId="9" fillId="0" borderId="43" xfId="3" applyFont="1" applyBorder="1" applyAlignment="1">
      <alignment horizontal="distributed" vertical="center" justifyLastLine="1"/>
    </xf>
    <xf numFmtId="0" fontId="9" fillId="0" borderId="56" xfId="3" applyFont="1" applyBorder="1" applyAlignment="1">
      <alignment horizontal="distributed" vertical="center" justifyLastLine="1"/>
    </xf>
    <xf numFmtId="0" fontId="9" fillId="0" borderId="8" xfId="3" applyFont="1" applyBorder="1" applyAlignment="1">
      <alignment horizontal="distributed" vertical="center" wrapText="1" justifyLastLine="1"/>
    </xf>
    <xf numFmtId="0" fontId="9" fillId="0" borderId="20" xfId="3" applyFont="1" applyBorder="1" applyAlignment="1">
      <alignment horizontal="distributed" vertical="center" justifyLastLine="1"/>
    </xf>
    <xf numFmtId="0" fontId="9" fillId="0" borderId="54" xfId="3" applyFont="1" applyBorder="1" applyAlignment="1">
      <alignment horizontal="center" vertical="center" shrinkToFit="1"/>
    </xf>
    <xf numFmtId="0" fontId="9" fillId="0" borderId="15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/>
    </xf>
    <xf numFmtId="0" fontId="6" fillId="0" borderId="4" xfId="3" applyBorder="1" applyAlignment="1">
      <alignment horizontal="center" vertical="center"/>
    </xf>
    <xf numFmtId="0" fontId="6" fillId="0" borderId="6" xfId="3" applyBorder="1" applyAlignment="1">
      <alignment horizontal="center" vertical="center"/>
    </xf>
    <xf numFmtId="0" fontId="6" fillId="0" borderId="23" xfId="3" applyBorder="1" applyAlignment="1">
      <alignment horizontal="center" vertical="center"/>
    </xf>
    <xf numFmtId="176" fontId="10" fillId="0" borderId="1" xfId="3" applyNumberFormat="1" applyFont="1" applyBorder="1" applyAlignment="1">
      <alignment vertical="center"/>
    </xf>
    <xf numFmtId="0" fontId="6" fillId="0" borderId="5" xfId="3" applyBorder="1" applyAlignment="1">
      <alignment vertical="center"/>
    </xf>
    <xf numFmtId="0" fontId="10" fillId="0" borderId="4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176" fontId="10" fillId="0" borderId="18" xfId="3" applyNumberFormat="1" applyFont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 wrapText="1" shrinkToFit="1"/>
    </xf>
    <xf numFmtId="0" fontId="9" fillId="0" borderId="18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distributed" vertical="center" justifyLastLine="1"/>
    </xf>
    <xf numFmtId="0" fontId="9" fillId="0" borderId="20" xfId="3" applyFont="1" applyFill="1" applyBorder="1" applyAlignment="1">
      <alignment horizontal="distributed" vertical="center" justifyLastLine="1"/>
    </xf>
    <xf numFmtId="0" fontId="9" fillId="0" borderId="24" xfId="3" applyFont="1" applyFill="1" applyBorder="1" applyAlignment="1">
      <alignment horizontal="distributed" vertical="center" justifyLastLine="1"/>
    </xf>
    <xf numFmtId="0" fontId="9" fillId="0" borderId="18" xfId="3" applyFont="1" applyFill="1" applyBorder="1" applyAlignment="1">
      <alignment horizontal="distributed" vertical="center" justifyLastLine="1"/>
    </xf>
    <xf numFmtId="0" fontId="9" fillId="0" borderId="6" xfId="3" applyFont="1" applyFill="1" applyBorder="1" applyAlignment="1">
      <alignment horizontal="distributed" vertical="center" justifyLastLine="1"/>
    </xf>
    <xf numFmtId="0" fontId="9" fillId="0" borderId="23" xfId="3" applyFont="1" applyFill="1" applyBorder="1" applyAlignment="1">
      <alignment horizontal="distributed" vertical="center" justifyLastLine="1"/>
    </xf>
    <xf numFmtId="0" fontId="9" fillId="0" borderId="1" xfId="3" applyFont="1" applyFill="1" applyBorder="1" applyAlignment="1">
      <alignment horizontal="distributed" vertical="center" justifyLastLine="1"/>
    </xf>
    <xf numFmtId="0" fontId="9" fillId="0" borderId="6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distributed" vertical="center" justifyLastLine="1"/>
    </xf>
    <xf numFmtId="0" fontId="9" fillId="0" borderId="3" xfId="3" applyFont="1" applyFill="1" applyBorder="1" applyAlignment="1">
      <alignment horizontal="distributed" vertical="center" justifyLastLine="1"/>
    </xf>
    <xf numFmtId="0" fontId="9" fillId="0" borderId="12" xfId="3" applyFont="1" applyFill="1" applyBorder="1" applyAlignment="1">
      <alignment horizontal="distributed" vertical="center" justifyLastLine="1"/>
    </xf>
    <xf numFmtId="0" fontId="9" fillId="0" borderId="0" xfId="3" applyFont="1" applyFill="1" applyBorder="1" applyAlignment="1">
      <alignment horizontal="distributed" vertical="center" justifyLastLine="1"/>
    </xf>
    <xf numFmtId="0" fontId="9" fillId="0" borderId="17" xfId="3" applyFont="1" applyFill="1" applyBorder="1" applyAlignment="1">
      <alignment horizontal="distributed" vertical="center" justifyLastLine="1"/>
    </xf>
    <xf numFmtId="0" fontId="10" fillId="0" borderId="18" xfId="3" applyFont="1" applyFill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19" xfId="3" applyFont="1" applyBorder="1" applyAlignment="1">
      <alignment horizontal="distributed" vertical="center" justifyLastLine="1"/>
    </xf>
    <xf numFmtId="0" fontId="9" fillId="0" borderId="24" xfId="3" applyFont="1" applyBorder="1" applyAlignment="1">
      <alignment horizontal="distributed" vertical="center" justifyLastLine="1"/>
    </xf>
    <xf numFmtId="0" fontId="11" fillId="0" borderId="12" xfId="4" applyFont="1" applyFill="1" applyBorder="1" applyAlignment="1">
      <alignment shrinkToFit="1"/>
    </xf>
    <xf numFmtId="0" fontId="11" fillId="0" borderId="22" xfId="4" applyFont="1" applyFill="1" applyBorder="1" applyAlignment="1">
      <alignment shrinkToFit="1"/>
    </xf>
    <xf numFmtId="0" fontId="11" fillId="0" borderId="18" xfId="4" applyFont="1" applyBorder="1" applyAlignment="1">
      <alignment horizontal="center" vertical="center" shrinkToFit="1"/>
    </xf>
    <xf numFmtId="0" fontId="11" fillId="0" borderId="18" xfId="4" applyFont="1" applyBorder="1" applyAlignment="1">
      <alignment horizontal="distributed" vertical="center" justifyLastLine="1"/>
    </xf>
    <xf numFmtId="49" fontId="11" fillId="0" borderId="1" xfId="4" applyNumberFormat="1" applyFont="1" applyBorder="1" applyAlignment="1">
      <alignment horizontal="center" vertical="center" shrinkToFit="1"/>
    </xf>
    <xf numFmtId="49" fontId="11" fillId="0" borderId="11" xfId="4" applyNumberFormat="1" applyFont="1" applyBorder="1" applyAlignment="1">
      <alignment horizontal="center" vertical="center" shrinkToFit="1"/>
    </xf>
    <xf numFmtId="49" fontId="11" fillId="0" borderId="5" xfId="4" applyNumberFormat="1" applyFont="1" applyBorder="1" applyAlignment="1">
      <alignment horizontal="center" vertical="center" shrinkToFit="1"/>
    </xf>
    <xf numFmtId="0" fontId="11" fillId="0" borderId="12" xfId="4" applyFont="1" applyBorder="1" applyAlignment="1">
      <alignment shrinkToFit="1"/>
    </xf>
    <xf numFmtId="0" fontId="11" fillId="0" borderId="22" xfId="4" applyFont="1" applyBorder="1" applyAlignment="1">
      <alignment shrinkToFit="1"/>
    </xf>
    <xf numFmtId="0" fontId="9" fillId="0" borderId="12" xfId="4" applyFont="1" applyBorder="1" applyAlignment="1">
      <alignment horizontal="center" shrinkToFit="1"/>
    </xf>
    <xf numFmtId="0" fontId="9" fillId="0" borderId="22" xfId="4" applyFont="1" applyBorder="1" applyAlignment="1">
      <alignment horizontal="center" shrinkToFit="1"/>
    </xf>
    <xf numFmtId="0" fontId="9" fillId="0" borderId="18" xfId="4" applyFont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 shrinkToFit="1"/>
    </xf>
    <xf numFmtId="0" fontId="9" fillId="0" borderId="5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distributed" vertical="center" justifyLastLine="1" shrinkToFit="1"/>
    </xf>
    <xf numFmtId="0" fontId="9" fillId="0" borderId="4" xfId="4" applyFont="1" applyBorder="1" applyAlignment="1">
      <alignment horizontal="distributed" vertical="center" justifyLastLine="1" shrinkToFit="1"/>
    </xf>
    <xf numFmtId="0" fontId="9" fillId="0" borderId="6" xfId="4" applyFont="1" applyBorder="1" applyAlignment="1">
      <alignment horizontal="distributed" vertical="center" justifyLastLine="1" shrinkToFit="1"/>
    </xf>
    <xf numFmtId="0" fontId="9" fillId="0" borderId="23" xfId="4" applyFont="1" applyBorder="1" applyAlignment="1">
      <alignment horizontal="distributed" vertical="center" justifyLastLine="1" shrinkToFit="1"/>
    </xf>
    <xf numFmtId="0" fontId="11" fillId="0" borderId="1" xfId="4" applyFont="1" applyBorder="1" applyAlignment="1">
      <alignment horizontal="distributed" vertical="center" justifyLastLine="1" shrinkToFit="1"/>
    </xf>
    <xf numFmtId="0" fontId="11" fillId="0" borderId="11" xfId="4" applyFont="1" applyBorder="1" applyAlignment="1">
      <alignment horizontal="distributed" vertical="center" justifyLastLine="1" shrinkToFit="1"/>
    </xf>
    <xf numFmtId="0" fontId="11" fillId="0" borderId="5" xfId="4" applyFont="1" applyBorder="1" applyAlignment="1">
      <alignment horizontal="distributed" vertical="center" justifyLastLine="1" shrinkToFit="1"/>
    </xf>
    <xf numFmtId="0" fontId="11" fillId="0" borderId="2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22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 shrinkToFit="1"/>
    </xf>
    <xf numFmtId="0" fontId="12" fillId="0" borderId="11" xfId="4" applyFont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 shrinkToFit="1"/>
    </xf>
    <xf numFmtId="38" fontId="7" fillId="0" borderId="1" xfId="5" applyFont="1" applyBorder="1" applyAlignment="1">
      <alignment horizontal="center" vertical="center" wrapText="1"/>
    </xf>
    <xf numFmtId="38" fontId="7" fillId="0" borderId="11" xfId="5" applyFont="1" applyBorder="1" applyAlignment="1">
      <alignment horizontal="center" vertical="center" wrapText="1"/>
    </xf>
    <xf numFmtId="38" fontId="7" fillId="0" borderId="5" xfId="5" applyFont="1" applyBorder="1" applyAlignment="1">
      <alignment horizontal="center" vertical="center" wrapText="1"/>
    </xf>
    <xf numFmtId="0" fontId="9" fillId="0" borderId="1" xfId="4" applyFont="1" applyBorder="1" applyAlignment="1">
      <alignment horizontal="distributed" vertical="center" justifyLastLine="1"/>
    </xf>
    <xf numFmtId="0" fontId="9" fillId="0" borderId="5" xfId="4" applyFont="1" applyBorder="1" applyAlignment="1">
      <alignment horizontal="distributed" vertical="center" justifyLastLine="1"/>
    </xf>
    <xf numFmtId="0" fontId="9" fillId="0" borderId="1" xfId="4" applyFont="1" applyBorder="1" applyAlignment="1">
      <alignment horizontal="center" vertical="center" wrapText="1" justifyLastLine="1"/>
    </xf>
    <xf numFmtId="0" fontId="9" fillId="0" borderId="11" xfId="4" applyFont="1" applyBorder="1" applyAlignment="1">
      <alignment horizontal="center" vertical="center" justifyLastLine="1"/>
    </xf>
    <xf numFmtId="0" fontId="9" fillId="0" borderId="5" xfId="4" applyFont="1" applyBorder="1" applyAlignment="1">
      <alignment horizontal="center" vertical="center" justifyLastLine="1"/>
    </xf>
    <xf numFmtId="0" fontId="9" fillId="0" borderId="18" xfId="4" applyFont="1" applyBorder="1" applyAlignment="1">
      <alignment horizontal="distributed" vertical="center" justifyLastLine="1"/>
    </xf>
    <xf numFmtId="0" fontId="9" fillId="0" borderId="2" xfId="2" applyNumberFormat="1" applyFont="1" applyFill="1" applyBorder="1" applyAlignment="1" applyProtection="1">
      <alignment horizontal="distributed" vertical="center" justifyLastLine="1"/>
    </xf>
    <xf numFmtId="0" fontId="9" fillId="0" borderId="3" xfId="2" applyNumberFormat="1" applyFont="1" applyFill="1" applyBorder="1" applyAlignment="1" applyProtection="1">
      <alignment horizontal="distributed" vertical="center" justifyLastLine="1"/>
    </xf>
    <xf numFmtId="0" fontId="9" fillId="0" borderId="4" xfId="2" applyNumberFormat="1" applyFont="1" applyFill="1" applyBorder="1" applyAlignment="1" applyProtection="1">
      <alignment horizontal="distributed" vertical="center" justifyLastLine="1"/>
    </xf>
  </cellXfs>
  <cellStyles count="9">
    <cellStyle name="桁区切り 2" xfId="5"/>
    <cellStyle name="桁区切り 3" xfId="6"/>
    <cellStyle name="桁区切り 4" xfId="8"/>
    <cellStyle name="標準" xfId="0" builtinId="0"/>
    <cellStyle name="標準 2" xfId="3"/>
    <cellStyle name="標準 2 2" xfId="4"/>
    <cellStyle name="標準 3" xfId="7"/>
    <cellStyle name="標準_164／165.XLS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6286816083479E-2"/>
          <c:y val="7.7097676396144232E-2"/>
          <c:w val="0.92248201683929387"/>
          <c:h val="0.859412333945254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'O-5'!$B$10</c:f>
              <c:strCache>
                <c:ptCount val="1"/>
                <c:pt idx="0">
                  <c:v>平成20年度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'O-5'!$D$10:$L$10</c:f>
              <c:numCache>
                <c:formatCode>#,##0;"△ "#,##0</c:formatCode>
                <c:ptCount val="9"/>
                <c:pt idx="0">
                  <c:v>165</c:v>
                </c:pt>
                <c:pt idx="1">
                  <c:v>466</c:v>
                </c:pt>
                <c:pt idx="2">
                  <c:v>66</c:v>
                </c:pt>
                <c:pt idx="3">
                  <c:v>36</c:v>
                </c:pt>
                <c:pt idx="4">
                  <c:v>78</c:v>
                </c:pt>
                <c:pt idx="5">
                  <c:v>85</c:v>
                </c:pt>
                <c:pt idx="6">
                  <c:v>135</c:v>
                </c:pt>
                <c:pt idx="7">
                  <c:v>123</c:v>
                </c:pt>
                <c:pt idx="8">
                  <c:v>147</c:v>
                </c:pt>
              </c:numCache>
            </c:numRef>
          </c:val>
        </c:ser>
        <c:ser>
          <c:idx val="0"/>
          <c:order val="1"/>
          <c:tx>
            <c:strRef>
              <c:f>'O-5'!$B$11</c:f>
              <c:strCache>
                <c:ptCount val="1"/>
                <c:pt idx="0">
                  <c:v>平成21年度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'O-5'!$D$11:$L$11</c:f>
              <c:numCache>
                <c:formatCode>#,##0;"△ "#,##0</c:formatCode>
                <c:ptCount val="9"/>
                <c:pt idx="0">
                  <c:v>173</c:v>
                </c:pt>
                <c:pt idx="1">
                  <c:v>458</c:v>
                </c:pt>
                <c:pt idx="2">
                  <c:v>67</c:v>
                </c:pt>
                <c:pt idx="3">
                  <c:v>31</c:v>
                </c:pt>
                <c:pt idx="4">
                  <c:v>82</c:v>
                </c:pt>
                <c:pt idx="5">
                  <c:v>83</c:v>
                </c:pt>
                <c:pt idx="6">
                  <c:v>130</c:v>
                </c:pt>
                <c:pt idx="7">
                  <c:v>115</c:v>
                </c:pt>
                <c:pt idx="8">
                  <c:v>142</c:v>
                </c:pt>
              </c:numCache>
            </c:numRef>
          </c:val>
        </c:ser>
        <c:ser>
          <c:idx val="1"/>
          <c:order val="2"/>
          <c:tx>
            <c:strRef>
              <c:f>'O-5'!$B$12</c:f>
              <c:strCache>
                <c:ptCount val="1"/>
                <c:pt idx="0">
                  <c:v>平成22年度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'O-5'!$D$12:$L$12</c:f>
              <c:numCache>
                <c:formatCode>#,##0;"△ "#,##0</c:formatCode>
                <c:ptCount val="9"/>
                <c:pt idx="0">
                  <c:v>177</c:v>
                </c:pt>
                <c:pt idx="1">
                  <c:v>471</c:v>
                </c:pt>
                <c:pt idx="2">
                  <c:v>69</c:v>
                </c:pt>
                <c:pt idx="3">
                  <c:v>28</c:v>
                </c:pt>
                <c:pt idx="4">
                  <c:v>78</c:v>
                </c:pt>
                <c:pt idx="5">
                  <c:v>87</c:v>
                </c:pt>
                <c:pt idx="6">
                  <c:v>128</c:v>
                </c:pt>
                <c:pt idx="7">
                  <c:v>118</c:v>
                </c:pt>
                <c:pt idx="8">
                  <c:v>153</c:v>
                </c:pt>
              </c:numCache>
            </c:numRef>
          </c:val>
        </c:ser>
        <c:ser>
          <c:idx val="2"/>
          <c:order val="3"/>
          <c:tx>
            <c:strRef>
              <c:f>'O-5'!$B$13</c:f>
              <c:strCache>
                <c:ptCount val="1"/>
                <c:pt idx="0">
                  <c:v>平成23年度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'O-5'!$D$13:$L$13</c:f>
              <c:numCache>
                <c:formatCode>#,##0;"△ "#,##0</c:formatCode>
                <c:ptCount val="9"/>
                <c:pt idx="0">
                  <c:v>174</c:v>
                </c:pt>
                <c:pt idx="1">
                  <c:v>459</c:v>
                </c:pt>
                <c:pt idx="2">
                  <c:v>71</c:v>
                </c:pt>
                <c:pt idx="3">
                  <c:v>27</c:v>
                </c:pt>
                <c:pt idx="4">
                  <c:v>73</c:v>
                </c:pt>
                <c:pt idx="5">
                  <c:v>86</c:v>
                </c:pt>
                <c:pt idx="6">
                  <c:v>126</c:v>
                </c:pt>
                <c:pt idx="7">
                  <c:v>119</c:v>
                </c:pt>
                <c:pt idx="8">
                  <c:v>155</c:v>
                </c:pt>
              </c:numCache>
            </c:numRef>
          </c:val>
        </c:ser>
        <c:ser>
          <c:idx val="3"/>
          <c:order val="4"/>
          <c:tx>
            <c:strRef>
              <c:f>'O-5'!$B$14</c:f>
              <c:strCache>
                <c:ptCount val="1"/>
                <c:pt idx="0">
                  <c:v>平成24年度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'O-5'!$D$14:$L$14</c:f>
              <c:numCache>
                <c:formatCode>#,##0;"△ "#,##0</c:formatCode>
                <c:ptCount val="9"/>
                <c:pt idx="0">
                  <c:v>169</c:v>
                </c:pt>
                <c:pt idx="1">
                  <c:v>438</c:v>
                </c:pt>
                <c:pt idx="2">
                  <c:v>67</c:v>
                </c:pt>
                <c:pt idx="3">
                  <c:v>25</c:v>
                </c:pt>
                <c:pt idx="4">
                  <c:v>65</c:v>
                </c:pt>
                <c:pt idx="5">
                  <c:v>79</c:v>
                </c:pt>
                <c:pt idx="6">
                  <c:v>148</c:v>
                </c:pt>
                <c:pt idx="7">
                  <c:v>124</c:v>
                </c:pt>
                <c:pt idx="8">
                  <c:v>148</c:v>
                </c:pt>
              </c:numCache>
            </c:numRef>
          </c:val>
        </c:ser>
        <c:ser>
          <c:idx val="5"/>
          <c:order val="5"/>
          <c:tx>
            <c:strRef>
              <c:f>'O-5'!$B$15</c:f>
              <c:strCache>
                <c:ptCount val="1"/>
                <c:pt idx="0">
                  <c:v>平成25年度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'O-5'!$D$15:$L$15</c:f>
              <c:numCache>
                <c:formatCode>#,##0;"△ "#,##0</c:formatCode>
                <c:ptCount val="9"/>
                <c:pt idx="0">
                  <c:v>165</c:v>
                </c:pt>
                <c:pt idx="1">
                  <c:v>419</c:v>
                </c:pt>
                <c:pt idx="2">
                  <c:v>72</c:v>
                </c:pt>
                <c:pt idx="3">
                  <c:v>25</c:v>
                </c:pt>
                <c:pt idx="4">
                  <c:v>81</c:v>
                </c:pt>
                <c:pt idx="5">
                  <c:v>74</c:v>
                </c:pt>
                <c:pt idx="6">
                  <c:v>150</c:v>
                </c:pt>
                <c:pt idx="7">
                  <c:v>117</c:v>
                </c:pt>
                <c:pt idx="8">
                  <c:v>152</c:v>
                </c:pt>
              </c:numCache>
            </c:numRef>
          </c:val>
        </c:ser>
        <c:ser>
          <c:idx val="6"/>
          <c:order val="6"/>
          <c:tx>
            <c:strRef>
              <c:f>'O-5'!$B$16</c:f>
              <c:strCache>
                <c:ptCount val="1"/>
                <c:pt idx="0">
                  <c:v>平成26年度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'O-5'!$D$16:$L$16</c:f>
              <c:numCache>
                <c:formatCode>#,##0;"△ "#,##0</c:formatCode>
                <c:ptCount val="9"/>
                <c:pt idx="0">
                  <c:v>158</c:v>
                </c:pt>
                <c:pt idx="1">
                  <c:v>398</c:v>
                </c:pt>
                <c:pt idx="2">
                  <c:v>67</c:v>
                </c:pt>
                <c:pt idx="3">
                  <c:v>27</c:v>
                </c:pt>
                <c:pt idx="4">
                  <c:v>84</c:v>
                </c:pt>
                <c:pt idx="5">
                  <c:v>66</c:v>
                </c:pt>
                <c:pt idx="6">
                  <c:v>160</c:v>
                </c:pt>
                <c:pt idx="7">
                  <c:v>113</c:v>
                </c:pt>
                <c:pt idx="8">
                  <c:v>153</c:v>
                </c:pt>
              </c:numCache>
            </c:numRef>
          </c:val>
        </c:ser>
        <c:ser>
          <c:idx val="7"/>
          <c:order val="7"/>
          <c:tx>
            <c:strRef>
              <c:f>'O-5'!$B$17</c:f>
              <c:strCache>
                <c:ptCount val="1"/>
                <c:pt idx="0">
                  <c:v>平成27年度</c:v>
                </c:pt>
              </c:strCache>
            </c:strRef>
          </c:tx>
          <c:invertIfNegative val="0"/>
          <c:cat>
            <c:strRef>
              <c:f>'O-5'!$D$4:$L$4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</c:v>
                </c:pt>
                <c:pt idx="6">
                  <c:v>西長田</c:v>
                </c:pt>
                <c:pt idx="7">
                  <c:v>西春江</c:v>
                </c:pt>
                <c:pt idx="8">
                  <c:v>太郎丸</c:v>
                </c:pt>
              </c:strCache>
            </c:strRef>
          </c:cat>
          <c:val>
            <c:numRef>
              <c:f>'O-5'!$D$17:$L$17</c:f>
              <c:numCache>
                <c:formatCode>#,##0;"△ "#,##0</c:formatCode>
                <c:ptCount val="9"/>
                <c:pt idx="0">
                  <c:v>156</c:v>
                </c:pt>
                <c:pt idx="1">
                  <c:v>415</c:v>
                </c:pt>
                <c:pt idx="2">
                  <c:v>72</c:v>
                </c:pt>
                <c:pt idx="3">
                  <c:v>32</c:v>
                </c:pt>
                <c:pt idx="4">
                  <c:v>81</c:v>
                </c:pt>
                <c:pt idx="5">
                  <c:v>72</c:v>
                </c:pt>
                <c:pt idx="6">
                  <c:v>165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74400"/>
        <c:axId val="102396672"/>
      </c:barChart>
      <c:catAx>
        <c:axId val="10237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9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9667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744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401534110557"/>
          <c:y val="0.11337892287273614"/>
          <c:w val="0.11302317442877785"/>
          <c:h val="0.34267335630665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18</xdr:row>
      <xdr:rowOff>19050</xdr:rowOff>
    </xdr:from>
    <xdr:to>
      <xdr:col>11</xdr:col>
      <xdr:colOff>476250</xdr:colOff>
      <xdr:row>46</xdr:row>
      <xdr:rowOff>123825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23</xdr:row>
      <xdr:rowOff>57150</xdr:rowOff>
    </xdr:from>
    <xdr:to>
      <xdr:col>8</xdr:col>
      <xdr:colOff>342900</xdr:colOff>
      <xdr:row>25</xdr:row>
      <xdr:rowOff>57150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057400" y="6638925"/>
          <a:ext cx="25812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えちぜん鉄道駅別乗車人数（1日平均）</a:t>
          </a:r>
          <a:endParaRPr lang="ja-JP" altLang="en-US"/>
        </a:p>
      </xdr:txBody>
    </xdr:sp>
    <xdr:clientData/>
  </xdr:twoCellAnchor>
  <xdr:twoCellAnchor>
    <xdr:from>
      <xdr:col>1</xdr:col>
      <xdr:colOff>209550</xdr:colOff>
      <xdr:row>18</xdr:row>
      <xdr:rowOff>161925</xdr:rowOff>
    </xdr:from>
    <xdr:to>
      <xdr:col>1</xdr:col>
      <xdr:colOff>428625</xdr:colOff>
      <xdr:row>19</xdr:row>
      <xdr:rowOff>161925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85775" y="5934075"/>
          <a:ext cx="219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23</xdr:row>
      <xdr:rowOff>133350</xdr:rowOff>
    </xdr:from>
    <xdr:to>
      <xdr:col>15</xdr:col>
      <xdr:colOff>76200</xdr:colOff>
      <xdr:row>61</xdr:row>
      <xdr:rowOff>104775</xdr:rowOff>
    </xdr:to>
    <xdr:pic>
      <xdr:nvPicPr>
        <xdr:cNvPr id="2" name="Picture 18" descr="無題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591050"/>
          <a:ext cx="5248275" cy="540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50</xdr:row>
      <xdr:rowOff>9525</xdr:rowOff>
    </xdr:from>
    <xdr:to>
      <xdr:col>7</xdr:col>
      <xdr:colOff>19050</xdr:colOff>
      <xdr:row>50</xdr:row>
      <xdr:rowOff>85725</xdr:rowOff>
    </xdr:to>
    <xdr:sp macro="" textlink="">
      <xdr:nvSpPr>
        <xdr:cNvPr id="3" name="Oval 7"/>
        <xdr:cNvSpPr>
          <a:spLocks noChangeArrowheads="1"/>
        </xdr:cNvSpPr>
      </xdr:nvSpPr>
      <xdr:spPr bwMode="auto">
        <a:xfrm>
          <a:off x="3362325" y="83248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200025</xdr:colOff>
      <xdr:row>43</xdr:row>
      <xdr:rowOff>95250</xdr:rowOff>
    </xdr:from>
    <xdr:to>
      <xdr:col>9</xdr:col>
      <xdr:colOff>276225</xdr:colOff>
      <xdr:row>44</xdr:row>
      <xdr:rowOff>28575</xdr:rowOff>
    </xdr:to>
    <xdr:sp macro="" textlink="">
      <xdr:nvSpPr>
        <xdr:cNvPr id="4" name="Oval 8"/>
        <xdr:cNvSpPr>
          <a:spLocks noChangeArrowheads="1"/>
        </xdr:cNvSpPr>
      </xdr:nvSpPr>
      <xdr:spPr bwMode="auto">
        <a:xfrm>
          <a:off x="4248150" y="7410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295275</xdr:colOff>
      <xdr:row>52</xdr:row>
      <xdr:rowOff>114300</xdr:rowOff>
    </xdr:from>
    <xdr:to>
      <xdr:col>8</xdr:col>
      <xdr:colOff>57150</xdr:colOff>
      <xdr:row>53</xdr:row>
      <xdr:rowOff>47625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3714750" y="8715375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26</xdr:row>
      <xdr:rowOff>28575</xdr:rowOff>
    </xdr:from>
    <xdr:to>
      <xdr:col>8</xdr:col>
      <xdr:colOff>9525</xdr:colOff>
      <xdr:row>26</xdr:row>
      <xdr:rowOff>104775</xdr:rowOff>
    </xdr:to>
    <xdr:sp macro="" textlink="">
      <xdr:nvSpPr>
        <xdr:cNvPr id="6" name="Oval 10"/>
        <xdr:cNvSpPr>
          <a:spLocks noChangeArrowheads="1"/>
        </xdr:cNvSpPr>
      </xdr:nvSpPr>
      <xdr:spPr bwMode="auto">
        <a:xfrm>
          <a:off x="3667125" y="49149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209550</xdr:colOff>
      <xdr:row>26</xdr:row>
      <xdr:rowOff>114300</xdr:rowOff>
    </xdr:from>
    <xdr:to>
      <xdr:col>8</xdr:col>
      <xdr:colOff>66675</xdr:colOff>
      <xdr:row>28</xdr:row>
      <xdr:rowOff>9525</xdr:rowOff>
    </xdr:to>
    <xdr:sp macro="" textlink="">
      <xdr:nvSpPr>
        <xdr:cNvPr id="7" name="Rectangle 11"/>
        <xdr:cNvSpPr>
          <a:spLocks noChangeArrowheads="1"/>
        </xdr:cNvSpPr>
      </xdr:nvSpPr>
      <xdr:spPr bwMode="auto">
        <a:xfrm>
          <a:off x="3257550" y="500062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雄島灯台</a:t>
          </a:r>
          <a:endParaRPr lang="ja-JP" altLang="en-US"/>
        </a:p>
      </xdr:txBody>
    </xdr:sp>
    <xdr:clientData/>
  </xdr:twoCellAnchor>
  <xdr:twoCellAnchor>
    <xdr:from>
      <xdr:col>7</xdr:col>
      <xdr:colOff>104775</xdr:colOff>
      <xdr:row>44</xdr:row>
      <xdr:rowOff>19050</xdr:rowOff>
    </xdr:from>
    <xdr:to>
      <xdr:col>9</xdr:col>
      <xdr:colOff>266700</xdr:colOff>
      <xdr:row>45</xdr:row>
      <xdr:rowOff>19050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3524250" y="7477125"/>
          <a:ext cx="790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三国防波堤灯台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42</xdr:row>
      <xdr:rowOff>85725</xdr:rowOff>
    </xdr:from>
    <xdr:to>
      <xdr:col>10</xdr:col>
      <xdr:colOff>114300</xdr:colOff>
      <xdr:row>43</xdr:row>
      <xdr:rowOff>19050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4514850" y="72580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247650</xdr:colOff>
      <xdr:row>41</xdr:row>
      <xdr:rowOff>76200</xdr:rowOff>
    </xdr:from>
    <xdr:to>
      <xdr:col>13</xdr:col>
      <xdr:colOff>133350</xdr:colOff>
      <xdr:row>42</xdr:row>
      <xdr:rowOff>76200</xdr:rowOff>
    </xdr:to>
    <xdr:sp macro="" textlink="">
      <xdr:nvSpPr>
        <xdr:cNvPr id="10" name="Rectangle 14"/>
        <xdr:cNvSpPr>
          <a:spLocks noChangeArrowheads="1"/>
        </xdr:cNvSpPr>
      </xdr:nvSpPr>
      <xdr:spPr bwMode="auto">
        <a:xfrm>
          <a:off x="4295775" y="7105650"/>
          <a:ext cx="1295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三国防波堤南西方照射灯</a:t>
          </a:r>
          <a:endParaRPr lang="ja-JP" altLang="en-US"/>
        </a:p>
      </xdr:txBody>
    </xdr:sp>
    <xdr:clientData/>
  </xdr:twoCellAnchor>
  <xdr:twoCellAnchor>
    <xdr:from>
      <xdr:col>5</xdr:col>
      <xdr:colOff>209550</xdr:colOff>
      <xdr:row>48</xdr:row>
      <xdr:rowOff>133350</xdr:rowOff>
    </xdr:from>
    <xdr:to>
      <xdr:col>7</xdr:col>
      <xdr:colOff>209550</xdr:colOff>
      <xdr:row>49</xdr:row>
      <xdr:rowOff>133350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2733675" y="8162925"/>
          <a:ext cx="895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福井南防波堤灯台</a:t>
          </a:r>
          <a:endParaRPr lang="ja-JP" altLang="en-US"/>
        </a:p>
      </xdr:txBody>
    </xdr:sp>
    <xdr:clientData/>
  </xdr:twoCellAnchor>
  <xdr:twoCellAnchor>
    <xdr:from>
      <xdr:col>7</xdr:col>
      <xdr:colOff>85725</xdr:colOff>
      <xdr:row>53</xdr:row>
      <xdr:rowOff>57150</xdr:rowOff>
    </xdr:from>
    <xdr:to>
      <xdr:col>9</xdr:col>
      <xdr:colOff>352425</xdr:colOff>
      <xdr:row>54</xdr:row>
      <xdr:rowOff>57150</xdr:rowOff>
    </xdr:to>
    <xdr:sp macro="" textlink="">
      <xdr:nvSpPr>
        <xdr:cNvPr id="12" name="Rectangle 16"/>
        <xdr:cNvSpPr>
          <a:spLocks noChangeArrowheads="1"/>
        </xdr:cNvSpPr>
      </xdr:nvSpPr>
      <xdr:spPr bwMode="auto">
        <a:xfrm>
          <a:off x="3505200" y="8801100"/>
          <a:ext cx="895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福井北防波堤灯台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314450" y="10744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Normal="100" zoomScaleSheetLayoutView="100" workbookViewId="0"/>
  </sheetViews>
  <sheetFormatPr defaultRowHeight="13.5"/>
  <cols>
    <col min="1" max="1" width="3.625" style="46" customWidth="1"/>
    <col min="2" max="2" width="10.125" style="46" customWidth="1"/>
    <col min="3" max="3" width="12.625" style="46" customWidth="1"/>
    <col min="4" max="5" width="10.625" style="46" customWidth="1"/>
    <col min="6" max="8" width="11.625" style="46" customWidth="1"/>
    <col min="9" max="256" width="9" style="46"/>
    <col min="257" max="257" width="3.625" style="46" customWidth="1"/>
    <col min="258" max="258" width="10.125" style="46" customWidth="1"/>
    <col min="259" max="259" width="12.625" style="46" customWidth="1"/>
    <col min="260" max="261" width="10.625" style="46" customWidth="1"/>
    <col min="262" max="264" width="11.625" style="46" customWidth="1"/>
    <col min="265" max="512" width="9" style="46"/>
    <col min="513" max="513" width="3.625" style="46" customWidth="1"/>
    <col min="514" max="514" width="10.125" style="46" customWidth="1"/>
    <col min="515" max="515" width="12.625" style="46" customWidth="1"/>
    <col min="516" max="517" width="10.625" style="46" customWidth="1"/>
    <col min="518" max="520" width="11.625" style="46" customWidth="1"/>
    <col min="521" max="768" width="9" style="46"/>
    <col min="769" max="769" width="3.625" style="46" customWidth="1"/>
    <col min="770" max="770" width="10.125" style="46" customWidth="1"/>
    <col min="771" max="771" width="12.625" style="46" customWidth="1"/>
    <col min="772" max="773" width="10.625" style="46" customWidth="1"/>
    <col min="774" max="776" width="11.625" style="46" customWidth="1"/>
    <col min="777" max="1024" width="9" style="46"/>
    <col min="1025" max="1025" width="3.625" style="46" customWidth="1"/>
    <col min="1026" max="1026" width="10.125" style="46" customWidth="1"/>
    <col min="1027" max="1027" width="12.625" style="46" customWidth="1"/>
    <col min="1028" max="1029" width="10.625" style="46" customWidth="1"/>
    <col min="1030" max="1032" width="11.625" style="46" customWidth="1"/>
    <col min="1033" max="1280" width="9" style="46"/>
    <col min="1281" max="1281" width="3.625" style="46" customWidth="1"/>
    <col min="1282" max="1282" width="10.125" style="46" customWidth="1"/>
    <col min="1283" max="1283" width="12.625" style="46" customWidth="1"/>
    <col min="1284" max="1285" width="10.625" style="46" customWidth="1"/>
    <col min="1286" max="1288" width="11.625" style="46" customWidth="1"/>
    <col min="1289" max="1536" width="9" style="46"/>
    <col min="1537" max="1537" width="3.625" style="46" customWidth="1"/>
    <col min="1538" max="1538" width="10.125" style="46" customWidth="1"/>
    <col min="1539" max="1539" width="12.625" style="46" customWidth="1"/>
    <col min="1540" max="1541" width="10.625" style="46" customWidth="1"/>
    <col min="1542" max="1544" width="11.625" style="46" customWidth="1"/>
    <col min="1545" max="1792" width="9" style="46"/>
    <col min="1793" max="1793" width="3.625" style="46" customWidth="1"/>
    <col min="1794" max="1794" width="10.125" style="46" customWidth="1"/>
    <col min="1795" max="1795" width="12.625" style="46" customWidth="1"/>
    <col min="1796" max="1797" width="10.625" style="46" customWidth="1"/>
    <col min="1798" max="1800" width="11.625" style="46" customWidth="1"/>
    <col min="1801" max="2048" width="9" style="46"/>
    <col min="2049" max="2049" width="3.625" style="46" customWidth="1"/>
    <col min="2050" max="2050" width="10.125" style="46" customWidth="1"/>
    <col min="2051" max="2051" width="12.625" style="46" customWidth="1"/>
    <col min="2052" max="2053" width="10.625" style="46" customWidth="1"/>
    <col min="2054" max="2056" width="11.625" style="46" customWidth="1"/>
    <col min="2057" max="2304" width="9" style="46"/>
    <col min="2305" max="2305" width="3.625" style="46" customWidth="1"/>
    <col min="2306" max="2306" width="10.125" style="46" customWidth="1"/>
    <col min="2307" max="2307" width="12.625" style="46" customWidth="1"/>
    <col min="2308" max="2309" width="10.625" style="46" customWidth="1"/>
    <col min="2310" max="2312" width="11.625" style="46" customWidth="1"/>
    <col min="2313" max="2560" width="9" style="46"/>
    <col min="2561" max="2561" width="3.625" style="46" customWidth="1"/>
    <col min="2562" max="2562" width="10.125" style="46" customWidth="1"/>
    <col min="2563" max="2563" width="12.625" style="46" customWidth="1"/>
    <col min="2564" max="2565" width="10.625" style="46" customWidth="1"/>
    <col min="2566" max="2568" width="11.625" style="46" customWidth="1"/>
    <col min="2569" max="2816" width="9" style="46"/>
    <col min="2817" max="2817" width="3.625" style="46" customWidth="1"/>
    <col min="2818" max="2818" width="10.125" style="46" customWidth="1"/>
    <col min="2819" max="2819" width="12.625" style="46" customWidth="1"/>
    <col min="2820" max="2821" width="10.625" style="46" customWidth="1"/>
    <col min="2822" max="2824" width="11.625" style="46" customWidth="1"/>
    <col min="2825" max="3072" width="9" style="46"/>
    <col min="3073" max="3073" width="3.625" style="46" customWidth="1"/>
    <col min="3074" max="3074" width="10.125" style="46" customWidth="1"/>
    <col min="3075" max="3075" width="12.625" style="46" customWidth="1"/>
    <col min="3076" max="3077" width="10.625" style="46" customWidth="1"/>
    <col min="3078" max="3080" width="11.625" style="46" customWidth="1"/>
    <col min="3081" max="3328" width="9" style="46"/>
    <col min="3329" max="3329" width="3.625" style="46" customWidth="1"/>
    <col min="3330" max="3330" width="10.125" style="46" customWidth="1"/>
    <col min="3331" max="3331" width="12.625" style="46" customWidth="1"/>
    <col min="3332" max="3333" width="10.625" style="46" customWidth="1"/>
    <col min="3334" max="3336" width="11.625" style="46" customWidth="1"/>
    <col min="3337" max="3584" width="9" style="46"/>
    <col min="3585" max="3585" width="3.625" style="46" customWidth="1"/>
    <col min="3586" max="3586" width="10.125" style="46" customWidth="1"/>
    <col min="3587" max="3587" width="12.625" style="46" customWidth="1"/>
    <col min="3588" max="3589" width="10.625" style="46" customWidth="1"/>
    <col min="3590" max="3592" width="11.625" style="46" customWidth="1"/>
    <col min="3593" max="3840" width="9" style="46"/>
    <col min="3841" max="3841" width="3.625" style="46" customWidth="1"/>
    <col min="3842" max="3842" width="10.125" style="46" customWidth="1"/>
    <col min="3843" max="3843" width="12.625" style="46" customWidth="1"/>
    <col min="3844" max="3845" width="10.625" style="46" customWidth="1"/>
    <col min="3846" max="3848" width="11.625" style="46" customWidth="1"/>
    <col min="3849" max="4096" width="9" style="46"/>
    <col min="4097" max="4097" width="3.625" style="46" customWidth="1"/>
    <col min="4098" max="4098" width="10.125" style="46" customWidth="1"/>
    <col min="4099" max="4099" width="12.625" style="46" customWidth="1"/>
    <col min="4100" max="4101" width="10.625" style="46" customWidth="1"/>
    <col min="4102" max="4104" width="11.625" style="46" customWidth="1"/>
    <col min="4105" max="4352" width="9" style="46"/>
    <col min="4353" max="4353" width="3.625" style="46" customWidth="1"/>
    <col min="4354" max="4354" width="10.125" style="46" customWidth="1"/>
    <col min="4355" max="4355" width="12.625" style="46" customWidth="1"/>
    <col min="4356" max="4357" width="10.625" style="46" customWidth="1"/>
    <col min="4358" max="4360" width="11.625" style="46" customWidth="1"/>
    <col min="4361" max="4608" width="9" style="46"/>
    <col min="4609" max="4609" width="3.625" style="46" customWidth="1"/>
    <col min="4610" max="4610" width="10.125" style="46" customWidth="1"/>
    <col min="4611" max="4611" width="12.625" style="46" customWidth="1"/>
    <col min="4612" max="4613" width="10.625" style="46" customWidth="1"/>
    <col min="4614" max="4616" width="11.625" style="46" customWidth="1"/>
    <col min="4617" max="4864" width="9" style="46"/>
    <col min="4865" max="4865" width="3.625" style="46" customWidth="1"/>
    <col min="4866" max="4866" width="10.125" style="46" customWidth="1"/>
    <col min="4867" max="4867" width="12.625" style="46" customWidth="1"/>
    <col min="4868" max="4869" width="10.625" style="46" customWidth="1"/>
    <col min="4870" max="4872" width="11.625" style="46" customWidth="1"/>
    <col min="4873" max="5120" width="9" style="46"/>
    <col min="5121" max="5121" width="3.625" style="46" customWidth="1"/>
    <col min="5122" max="5122" width="10.125" style="46" customWidth="1"/>
    <col min="5123" max="5123" width="12.625" style="46" customWidth="1"/>
    <col min="5124" max="5125" width="10.625" style="46" customWidth="1"/>
    <col min="5126" max="5128" width="11.625" style="46" customWidth="1"/>
    <col min="5129" max="5376" width="9" style="46"/>
    <col min="5377" max="5377" width="3.625" style="46" customWidth="1"/>
    <col min="5378" max="5378" width="10.125" style="46" customWidth="1"/>
    <col min="5379" max="5379" width="12.625" style="46" customWidth="1"/>
    <col min="5380" max="5381" width="10.625" style="46" customWidth="1"/>
    <col min="5382" max="5384" width="11.625" style="46" customWidth="1"/>
    <col min="5385" max="5632" width="9" style="46"/>
    <col min="5633" max="5633" width="3.625" style="46" customWidth="1"/>
    <col min="5634" max="5634" width="10.125" style="46" customWidth="1"/>
    <col min="5635" max="5635" width="12.625" style="46" customWidth="1"/>
    <col min="5636" max="5637" width="10.625" style="46" customWidth="1"/>
    <col min="5638" max="5640" width="11.625" style="46" customWidth="1"/>
    <col min="5641" max="5888" width="9" style="46"/>
    <col min="5889" max="5889" width="3.625" style="46" customWidth="1"/>
    <col min="5890" max="5890" width="10.125" style="46" customWidth="1"/>
    <col min="5891" max="5891" width="12.625" style="46" customWidth="1"/>
    <col min="5892" max="5893" width="10.625" style="46" customWidth="1"/>
    <col min="5894" max="5896" width="11.625" style="46" customWidth="1"/>
    <col min="5897" max="6144" width="9" style="46"/>
    <col min="6145" max="6145" width="3.625" style="46" customWidth="1"/>
    <col min="6146" max="6146" width="10.125" style="46" customWidth="1"/>
    <col min="6147" max="6147" width="12.625" style="46" customWidth="1"/>
    <col min="6148" max="6149" width="10.625" style="46" customWidth="1"/>
    <col min="6150" max="6152" width="11.625" style="46" customWidth="1"/>
    <col min="6153" max="6400" width="9" style="46"/>
    <col min="6401" max="6401" width="3.625" style="46" customWidth="1"/>
    <col min="6402" max="6402" width="10.125" style="46" customWidth="1"/>
    <col min="6403" max="6403" width="12.625" style="46" customWidth="1"/>
    <col min="6404" max="6405" width="10.625" style="46" customWidth="1"/>
    <col min="6406" max="6408" width="11.625" style="46" customWidth="1"/>
    <col min="6409" max="6656" width="9" style="46"/>
    <col min="6657" max="6657" width="3.625" style="46" customWidth="1"/>
    <col min="6658" max="6658" width="10.125" style="46" customWidth="1"/>
    <col min="6659" max="6659" width="12.625" style="46" customWidth="1"/>
    <col min="6660" max="6661" width="10.625" style="46" customWidth="1"/>
    <col min="6662" max="6664" width="11.625" style="46" customWidth="1"/>
    <col min="6665" max="6912" width="9" style="46"/>
    <col min="6913" max="6913" width="3.625" style="46" customWidth="1"/>
    <col min="6914" max="6914" width="10.125" style="46" customWidth="1"/>
    <col min="6915" max="6915" width="12.625" style="46" customWidth="1"/>
    <col min="6916" max="6917" width="10.625" style="46" customWidth="1"/>
    <col min="6918" max="6920" width="11.625" style="46" customWidth="1"/>
    <col min="6921" max="7168" width="9" style="46"/>
    <col min="7169" max="7169" width="3.625" style="46" customWidth="1"/>
    <col min="7170" max="7170" width="10.125" style="46" customWidth="1"/>
    <col min="7171" max="7171" width="12.625" style="46" customWidth="1"/>
    <col min="7172" max="7173" width="10.625" style="46" customWidth="1"/>
    <col min="7174" max="7176" width="11.625" style="46" customWidth="1"/>
    <col min="7177" max="7424" width="9" style="46"/>
    <col min="7425" max="7425" width="3.625" style="46" customWidth="1"/>
    <col min="7426" max="7426" width="10.125" style="46" customWidth="1"/>
    <col min="7427" max="7427" width="12.625" style="46" customWidth="1"/>
    <col min="7428" max="7429" width="10.625" style="46" customWidth="1"/>
    <col min="7430" max="7432" width="11.625" style="46" customWidth="1"/>
    <col min="7433" max="7680" width="9" style="46"/>
    <col min="7681" max="7681" width="3.625" style="46" customWidth="1"/>
    <col min="7682" max="7682" width="10.125" style="46" customWidth="1"/>
    <col min="7683" max="7683" width="12.625" style="46" customWidth="1"/>
    <col min="7684" max="7685" width="10.625" style="46" customWidth="1"/>
    <col min="7686" max="7688" width="11.625" style="46" customWidth="1"/>
    <col min="7689" max="7936" width="9" style="46"/>
    <col min="7937" max="7937" width="3.625" style="46" customWidth="1"/>
    <col min="7938" max="7938" width="10.125" style="46" customWidth="1"/>
    <col min="7939" max="7939" width="12.625" style="46" customWidth="1"/>
    <col min="7940" max="7941" width="10.625" style="46" customWidth="1"/>
    <col min="7942" max="7944" width="11.625" style="46" customWidth="1"/>
    <col min="7945" max="8192" width="9" style="46"/>
    <col min="8193" max="8193" width="3.625" style="46" customWidth="1"/>
    <col min="8194" max="8194" width="10.125" style="46" customWidth="1"/>
    <col min="8195" max="8195" width="12.625" style="46" customWidth="1"/>
    <col min="8196" max="8197" width="10.625" style="46" customWidth="1"/>
    <col min="8198" max="8200" width="11.625" style="46" customWidth="1"/>
    <col min="8201" max="8448" width="9" style="46"/>
    <col min="8449" max="8449" width="3.625" style="46" customWidth="1"/>
    <col min="8450" max="8450" width="10.125" style="46" customWidth="1"/>
    <col min="8451" max="8451" width="12.625" style="46" customWidth="1"/>
    <col min="8452" max="8453" width="10.625" style="46" customWidth="1"/>
    <col min="8454" max="8456" width="11.625" style="46" customWidth="1"/>
    <col min="8457" max="8704" width="9" style="46"/>
    <col min="8705" max="8705" width="3.625" style="46" customWidth="1"/>
    <col min="8706" max="8706" width="10.125" style="46" customWidth="1"/>
    <col min="8707" max="8707" width="12.625" style="46" customWidth="1"/>
    <col min="8708" max="8709" width="10.625" style="46" customWidth="1"/>
    <col min="8710" max="8712" width="11.625" style="46" customWidth="1"/>
    <col min="8713" max="8960" width="9" style="46"/>
    <col min="8961" max="8961" width="3.625" style="46" customWidth="1"/>
    <col min="8962" max="8962" width="10.125" style="46" customWidth="1"/>
    <col min="8963" max="8963" width="12.625" style="46" customWidth="1"/>
    <col min="8964" max="8965" width="10.625" style="46" customWidth="1"/>
    <col min="8966" max="8968" width="11.625" style="46" customWidth="1"/>
    <col min="8969" max="9216" width="9" style="46"/>
    <col min="9217" max="9217" width="3.625" style="46" customWidth="1"/>
    <col min="9218" max="9218" width="10.125" style="46" customWidth="1"/>
    <col min="9219" max="9219" width="12.625" style="46" customWidth="1"/>
    <col min="9220" max="9221" width="10.625" style="46" customWidth="1"/>
    <col min="9222" max="9224" width="11.625" style="46" customWidth="1"/>
    <col min="9225" max="9472" width="9" style="46"/>
    <col min="9473" max="9473" width="3.625" style="46" customWidth="1"/>
    <col min="9474" max="9474" width="10.125" style="46" customWidth="1"/>
    <col min="9475" max="9475" width="12.625" style="46" customWidth="1"/>
    <col min="9476" max="9477" width="10.625" style="46" customWidth="1"/>
    <col min="9478" max="9480" width="11.625" style="46" customWidth="1"/>
    <col min="9481" max="9728" width="9" style="46"/>
    <col min="9729" max="9729" width="3.625" style="46" customWidth="1"/>
    <col min="9730" max="9730" width="10.125" style="46" customWidth="1"/>
    <col min="9731" max="9731" width="12.625" style="46" customWidth="1"/>
    <col min="9732" max="9733" width="10.625" style="46" customWidth="1"/>
    <col min="9734" max="9736" width="11.625" style="46" customWidth="1"/>
    <col min="9737" max="9984" width="9" style="46"/>
    <col min="9985" max="9985" width="3.625" style="46" customWidth="1"/>
    <col min="9986" max="9986" width="10.125" style="46" customWidth="1"/>
    <col min="9987" max="9987" width="12.625" style="46" customWidth="1"/>
    <col min="9988" max="9989" width="10.625" style="46" customWidth="1"/>
    <col min="9990" max="9992" width="11.625" style="46" customWidth="1"/>
    <col min="9993" max="10240" width="9" style="46"/>
    <col min="10241" max="10241" width="3.625" style="46" customWidth="1"/>
    <col min="10242" max="10242" width="10.125" style="46" customWidth="1"/>
    <col min="10243" max="10243" width="12.625" style="46" customWidth="1"/>
    <col min="10244" max="10245" width="10.625" style="46" customWidth="1"/>
    <col min="10246" max="10248" width="11.625" style="46" customWidth="1"/>
    <col min="10249" max="10496" width="9" style="46"/>
    <col min="10497" max="10497" width="3.625" style="46" customWidth="1"/>
    <col min="10498" max="10498" width="10.125" style="46" customWidth="1"/>
    <col min="10499" max="10499" width="12.625" style="46" customWidth="1"/>
    <col min="10500" max="10501" width="10.625" style="46" customWidth="1"/>
    <col min="10502" max="10504" width="11.625" style="46" customWidth="1"/>
    <col min="10505" max="10752" width="9" style="46"/>
    <col min="10753" max="10753" width="3.625" style="46" customWidth="1"/>
    <col min="10754" max="10754" width="10.125" style="46" customWidth="1"/>
    <col min="10755" max="10755" width="12.625" style="46" customWidth="1"/>
    <col min="10756" max="10757" width="10.625" style="46" customWidth="1"/>
    <col min="10758" max="10760" width="11.625" style="46" customWidth="1"/>
    <col min="10761" max="11008" width="9" style="46"/>
    <col min="11009" max="11009" width="3.625" style="46" customWidth="1"/>
    <col min="11010" max="11010" width="10.125" style="46" customWidth="1"/>
    <col min="11011" max="11011" width="12.625" style="46" customWidth="1"/>
    <col min="11012" max="11013" width="10.625" style="46" customWidth="1"/>
    <col min="11014" max="11016" width="11.625" style="46" customWidth="1"/>
    <col min="11017" max="11264" width="9" style="46"/>
    <col min="11265" max="11265" width="3.625" style="46" customWidth="1"/>
    <col min="11266" max="11266" width="10.125" style="46" customWidth="1"/>
    <col min="11267" max="11267" width="12.625" style="46" customWidth="1"/>
    <col min="11268" max="11269" width="10.625" style="46" customWidth="1"/>
    <col min="11270" max="11272" width="11.625" style="46" customWidth="1"/>
    <col min="11273" max="11520" width="9" style="46"/>
    <col min="11521" max="11521" width="3.625" style="46" customWidth="1"/>
    <col min="11522" max="11522" width="10.125" style="46" customWidth="1"/>
    <col min="11523" max="11523" width="12.625" style="46" customWidth="1"/>
    <col min="11524" max="11525" width="10.625" style="46" customWidth="1"/>
    <col min="11526" max="11528" width="11.625" style="46" customWidth="1"/>
    <col min="11529" max="11776" width="9" style="46"/>
    <col min="11777" max="11777" width="3.625" style="46" customWidth="1"/>
    <col min="11778" max="11778" width="10.125" style="46" customWidth="1"/>
    <col min="11779" max="11779" width="12.625" style="46" customWidth="1"/>
    <col min="11780" max="11781" width="10.625" style="46" customWidth="1"/>
    <col min="11782" max="11784" width="11.625" style="46" customWidth="1"/>
    <col min="11785" max="12032" width="9" style="46"/>
    <col min="12033" max="12033" width="3.625" style="46" customWidth="1"/>
    <col min="12034" max="12034" width="10.125" style="46" customWidth="1"/>
    <col min="12035" max="12035" width="12.625" style="46" customWidth="1"/>
    <col min="12036" max="12037" width="10.625" style="46" customWidth="1"/>
    <col min="12038" max="12040" width="11.625" style="46" customWidth="1"/>
    <col min="12041" max="12288" width="9" style="46"/>
    <col min="12289" max="12289" width="3.625" style="46" customWidth="1"/>
    <col min="12290" max="12290" width="10.125" style="46" customWidth="1"/>
    <col min="12291" max="12291" width="12.625" style="46" customWidth="1"/>
    <col min="12292" max="12293" width="10.625" style="46" customWidth="1"/>
    <col min="12294" max="12296" width="11.625" style="46" customWidth="1"/>
    <col min="12297" max="12544" width="9" style="46"/>
    <col min="12545" max="12545" width="3.625" style="46" customWidth="1"/>
    <col min="12546" max="12546" width="10.125" style="46" customWidth="1"/>
    <col min="12547" max="12547" width="12.625" style="46" customWidth="1"/>
    <col min="12548" max="12549" width="10.625" style="46" customWidth="1"/>
    <col min="12550" max="12552" width="11.625" style="46" customWidth="1"/>
    <col min="12553" max="12800" width="9" style="46"/>
    <col min="12801" max="12801" width="3.625" style="46" customWidth="1"/>
    <col min="12802" max="12802" width="10.125" style="46" customWidth="1"/>
    <col min="12803" max="12803" width="12.625" style="46" customWidth="1"/>
    <col min="12804" max="12805" width="10.625" style="46" customWidth="1"/>
    <col min="12806" max="12808" width="11.625" style="46" customWidth="1"/>
    <col min="12809" max="13056" width="9" style="46"/>
    <col min="13057" max="13057" width="3.625" style="46" customWidth="1"/>
    <col min="13058" max="13058" width="10.125" style="46" customWidth="1"/>
    <col min="13059" max="13059" width="12.625" style="46" customWidth="1"/>
    <col min="13060" max="13061" width="10.625" style="46" customWidth="1"/>
    <col min="13062" max="13064" width="11.625" style="46" customWidth="1"/>
    <col min="13065" max="13312" width="9" style="46"/>
    <col min="13313" max="13313" width="3.625" style="46" customWidth="1"/>
    <col min="13314" max="13314" width="10.125" style="46" customWidth="1"/>
    <col min="13315" max="13315" width="12.625" style="46" customWidth="1"/>
    <col min="13316" max="13317" width="10.625" style="46" customWidth="1"/>
    <col min="13318" max="13320" width="11.625" style="46" customWidth="1"/>
    <col min="13321" max="13568" width="9" style="46"/>
    <col min="13569" max="13569" width="3.625" style="46" customWidth="1"/>
    <col min="13570" max="13570" width="10.125" style="46" customWidth="1"/>
    <col min="13571" max="13571" width="12.625" style="46" customWidth="1"/>
    <col min="13572" max="13573" width="10.625" style="46" customWidth="1"/>
    <col min="13574" max="13576" width="11.625" style="46" customWidth="1"/>
    <col min="13577" max="13824" width="9" style="46"/>
    <col min="13825" max="13825" width="3.625" style="46" customWidth="1"/>
    <col min="13826" max="13826" width="10.125" style="46" customWidth="1"/>
    <col min="13827" max="13827" width="12.625" style="46" customWidth="1"/>
    <col min="13828" max="13829" width="10.625" style="46" customWidth="1"/>
    <col min="13830" max="13832" width="11.625" style="46" customWidth="1"/>
    <col min="13833" max="14080" width="9" style="46"/>
    <col min="14081" max="14081" width="3.625" style="46" customWidth="1"/>
    <col min="14082" max="14082" width="10.125" style="46" customWidth="1"/>
    <col min="14083" max="14083" width="12.625" style="46" customWidth="1"/>
    <col min="14084" max="14085" width="10.625" style="46" customWidth="1"/>
    <col min="14086" max="14088" width="11.625" style="46" customWidth="1"/>
    <col min="14089" max="14336" width="9" style="46"/>
    <col min="14337" max="14337" width="3.625" style="46" customWidth="1"/>
    <col min="14338" max="14338" width="10.125" style="46" customWidth="1"/>
    <col min="14339" max="14339" width="12.625" style="46" customWidth="1"/>
    <col min="14340" max="14341" width="10.625" style="46" customWidth="1"/>
    <col min="14342" max="14344" width="11.625" style="46" customWidth="1"/>
    <col min="14345" max="14592" width="9" style="46"/>
    <col min="14593" max="14593" width="3.625" style="46" customWidth="1"/>
    <col min="14594" max="14594" width="10.125" style="46" customWidth="1"/>
    <col min="14595" max="14595" width="12.625" style="46" customWidth="1"/>
    <col min="14596" max="14597" width="10.625" style="46" customWidth="1"/>
    <col min="14598" max="14600" width="11.625" style="46" customWidth="1"/>
    <col min="14601" max="14848" width="9" style="46"/>
    <col min="14849" max="14849" width="3.625" style="46" customWidth="1"/>
    <col min="14850" max="14850" width="10.125" style="46" customWidth="1"/>
    <col min="14851" max="14851" width="12.625" style="46" customWidth="1"/>
    <col min="14852" max="14853" width="10.625" style="46" customWidth="1"/>
    <col min="14854" max="14856" width="11.625" style="46" customWidth="1"/>
    <col min="14857" max="15104" width="9" style="46"/>
    <col min="15105" max="15105" width="3.625" style="46" customWidth="1"/>
    <col min="15106" max="15106" width="10.125" style="46" customWidth="1"/>
    <col min="15107" max="15107" width="12.625" style="46" customWidth="1"/>
    <col min="15108" max="15109" width="10.625" style="46" customWidth="1"/>
    <col min="15110" max="15112" width="11.625" style="46" customWidth="1"/>
    <col min="15113" max="15360" width="9" style="46"/>
    <col min="15361" max="15361" width="3.625" style="46" customWidth="1"/>
    <col min="15362" max="15362" width="10.125" style="46" customWidth="1"/>
    <col min="15363" max="15363" width="12.625" style="46" customWidth="1"/>
    <col min="15364" max="15365" width="10.625" style="46" customWidth="1"/>
    <col min="15366" max="15368" width="11.625" style="46" customWidth="1"/>
    <col min="15369" max="15616" width="9" style="46"/>
    <col min="15617" max="15617" width="3.625" style="46" customWidth="1"/>
    <col min="15618" max="15618" width="10.125" style="46" customWidth="1"/>
    <col min="15619" max="15619" width="12.625" style="46" customWidth="1"/>
    <col min="15620" max="15621" width="10.625" style="46" customWidth="1"/>
    <col min="15622" max="15624" width="11.625" style="46" customWidth="1"/>
    <col min="15625" max="15872" width="9" style="46"/>
    <col min="15873" max="15873" width="3.625" style="46" customWidth="1"/>
    <col min="15874" max="15874" width="10.125" style="46" customWidth="1"/>
    <col min="15875" max="15875" width="12.625" style="46" customWidth="1"/>
    <col min="15876" max="15877" width="10.625" style="46" customWidth="1"/>
    <col min="15878" max="15880" width="11.625" style="46" customWidth="1"/>
    <col min="15881" max="16128" width="9" style="46"/>
    <col min="16129" max="16129" width="3.625" style="46" customWidth="1"/>
    <col min="16130" max="16130" width="10.125" style="46" customWidth="1"/>
    <col min="16131" max="16131" width="12.625" style="46" customWidth="1"/>
    <col min="16132" max="16133" width="10.625" style="46" customWidth="1"/>
    <col min="16134" max="16136" width="11.625" style="46" customWidth="1"/>
    <col min="16137" max="16384" width="9" style="46"/>
  </cols>
  <sheetData>
    <row r="1" spans="1:9" ht="30" customHeight="1">
      <c r="A1" s="149" t="s">
        <v>458</v>
      </c>
      <c r="B1" s="149"/>
      <c r="C1" s="150"/>
      <c r="D1" s="150"/>
      <c r="E1" s="150"/>
      <c r="F1" s="150"/>
      <c r="G1" s="150"/>
      <c r="H1" s="150"/>
    </row>
    <row r="2" spans="1:9" ht="18" customHeight="1">
      <c r="A2" s="149"/>
      <c r="B2" s="46" t="s">
        <v>459</v>
      </c>
      <c r="C2" s="150"/>
      <c r="D2" s="150"/>
      <c r="E2" s="150"/>
      <c r="F2" s="150"/>
      <c r="G2" s="150"/>
      <c r="H2" s="326" t="s">
        <v>460</v>
      </c>
    </row>
    <row r="3" spans="1:9" s="150" customFormat="1" ht="15" customHeight="1">
      <c r="B3" s="502" t="s">
        <v>23</v>
      </c>
      <c r="C3" s="502" t="s">
        <v>346</v>
      </c>
      <c r="D3" s="504" t="s">
        <v>461</v>
      </c>
      <c r="E3" s="505"/>
      <c r="F3" s="502" t="s">
        <v>462</v>
      </c>
      <c r="G3" s="502" t="s">
        <v>463</v>
      </c>
      <c r="H3" s="500" t="s">
        <v>464</v>
      </c>
    </row>
    <row r="4" spans="1:9" s="150" customFormat="1" ht="15" customHeight="1">
      <c r="B4" s="503"/>
      <c r="C4" s="503"/>
      <c r="D4" s="469" t="s">
        <v>465</v>
      </c>
      <c r="E4" s="470" t="s">
        <v>466</v>
      </c>
      <c r="F4" s="503"/>
      <c r="G4" s="503"/>
      <c r="H4" s="501"/>
    </row>
    <row r="5" spans="1:9" s="150" customFormat="1" ht="15" customHeight="1">
      <c r="B5" s="14" t="s">
        <v>159</v>
      </c>
      <c r="C5" s="471">
        <f t="shared" ref="C5:H5" si="0">SUM(C6:C9)</f>
        <v>907.7</v>
      </c>
      <c r="D5" s="472">
        <f t="shared" si="0"/>
        <v>19.7</v>
      </c>
      <c r="E5" s="473">
        <f t="shared" si="0"/>
        <v>887.9</v>
      </c>
      <c r="F5" s="471">
        <f t="shared" si="0"/>
        <v>31.8</v>
      </c>
      <c r="G5" s="471">
        <f t="shared" si="0"/>
        <v>184.7</v>
      </c>
      <c r="H5" s="471">
        <f t="shared" si="0"/>
        <v>691.2</v>
      </c>
      <c r="I5" s="474"/>
    </row>
    <row r="6" spans="1:9" s="150" customFormat="1" ht="15" hidden="1" customHeight="1">
      <c r="B6" s="20" t="s">
        <v>8</v>
      </c>
      <c r="C6" s="475">
        <v>247.9</v>
      </c>
      <c r="D6" s="476">
        <v>6</v>
      </c>
      <c r="E6" s="477">
        <v>241.9</v>
      </c>
      <c r="F6" s="475">
        <v>10.199999999999999</v>
      </c>
      <c r="G6" s="475">
        <v>39.5</v>
      </c>
      <c r="H6" s="475">
        <v>198.2</v>
      </c>
      <c r="I6" s="474"/>
    </row>
    <row r="7" spans="1:9" s="150" customFormat="1" ht="15" hidden="1" customHeight="1">
      <c r="B7" s="20" t="s">
        <v>11</v>
      </c>
      <c r="C7" s="475">
        <v>303.7</v>
      </c>
      <c r="D7" s="476">
        <v>3.7</v>
      </c>
      <c r="E7" s="477">
        <v>300</v>
      </c>
      <c r="F7" s="475">
        <v>21.6</v>
      </c>
      <c r="G7" s="475">
        <v>65.7</v>
      </c>
      <c r="H7" s="475">
        <v>216.4</v>
      </c>
      <c r="I7" s="474"/>
    </row>
    <row r="8" spans="1:9" s="150" customFormat="1" ht="15" hidden="1" customHeight="1">
      <c r="B8" s="20" t="s">
        <v>12</v>
      </c>
      <c r="C8" s="475">
        <v>181.6</v>
      </c>
      <c r="D8" s="476">
        <v>5</v>
      </c>
      <c r="E8" s="477">
        <v>176.5</v>
      </c>
      <c r="F8" s="475">
        <v>0</v>
      </c>
      <c r="G8" s="475">
        <v>35.799999999999997</v>
      </c>
      <c r="H8" s="475">
        <v>145.80000000000001</v>
      </c>
      <c r="I8" s="474"/>
    </row>
    <row r="9" spans="1:9" s="150" customFormat="1" ht="15" hidden="1" customHeight="1">
      <c r="B9" s="31" t="s">
        <v>13</v>
      </c>
      <c r="C9" s="478">
        <v>174.5</v>
      </c>
      <c r="D9" s="479">
        <v>5</v>
      </c>
      <c r="E9" s="480">
        <v>169.5</v>
      </c>
      <c r="F9" s="478">
        <v>0</v>
      </c>
      <c r="G9" s="478">
        <v>43.7</v>
      </c>
      <c r="H9" s="478">
        <v>130.80000000000001</v>
      </c>
      <c r="I9" s="474"/>
    </row>
    <row r="10" spans="1:9" s="150" customFormat="1" ht="15" customHeight="1">
      <c r="B10" s="14" t="s">
        <v>162</v>
      </c>
      <c r="C10" s="471">
        <f t="shared" ref="C10:H10" si="1">SUM(C11:C14)</f>
        <v>918</v>
      </c>
      <c r="D10" s="472">
        <f t="shared" si="1"/>
        <v>19.100000000000001</v>
      </c>
      <c r="E10" s="473">
        <f t="shared" si="1"/>
        <v>899</v>
      </c>
      <c r="F10" s="471">
        <f t="shared" si="1"/>
        <v>31.8</v>
      </c>
      <c r="G10" s="471">
        <f t="shared" si="1"/>
        <v>184.4</v>
      </c>
      <c r="H10" s="471">
        <f t="shared" si="1"/>
        <v>701.8</v>
      </c>
      <c r="I10" s="474"/>
    </row>
    <row r="11" spans="1:9" s="150" customFormat="1" ht="15" hidden="1" customHeight="1">
      <c r="B11" s="20" t="s">
        <v>8</v>
      </c>
      <c r="C11" s="475">
        <v>248.3</v>
      </c>
      <c r="D11" s="476">
        <v>5.9</v>
      </c>
      <c r="E11" s="477">
        <v>242.4</v>
      </c>
      <c r="F11" s="475">
        <v>10.199999999999999</v>
      </c>
      <c r="G11" s="475">
        <v>39.5</v>
      </c>
      <c r="H11" s="475">
        <v>198.6</v>
      </c>
      <c r="I11" s="474"/>
    </row>
    <row r="12" spans="1:9" s="150" customFormat="1" ht="15" hidden="1" customHeight="1">
      <c r="B12" s="20" t="s">
        <v>11</v>
      </c>
      <c r="C12" s="475">
        <v>308.7</v>
      </c>
      <c r="D12" s="476">
        <v>3.7</v>
      </c>
      <c r="E12" s="477">
        <v>305</v>
      </c>
      <c r="F12" s="475">
        <v>21.6</v>
      </c>
      <c r="G12" s="475">
        <v>65.7</v>
      </c>
      <c r="H12" s="475">
        <v>221.3</v>
      </c>
      <c r="I12" s="474"/>
    </row>
    <row r="13" spans="1:9" s="150" customFormat="1" ht="15" hidden="1" customHeight="1">
      <c r="B13" s="20" t="s">
        <v>12</v>
      </c>
      <c r="C13" s="475">
        <v>184.3</v>
      </c>
      <c r="D13" s="476">
        <v>4.5999999999999996</v>
      </c>
      <c r="E13" s="477">
        <v>179.8</v>
      </c>
      <c r="F13" s="475">
        <v>0</v>
      </c>
      <c r="G13" s="475">
        <v>35.799999999999997</v>
      </c>
      <c r="H13" s="475">
        <v>148.6</v>
      </c>
      <c r="I13" s="474"/>
    </row>
    <row r="14" spans="1:9" s="150" customFormat="1" ht="15" hidden="1" customHeight="1">
      <c r="B14" s="31" t="s">
        <v>13</v>
      </c>
      <c r="C14" s="478">
        <v>176.7</v>
      </c>
      <c r="D14" s="479">
        <v>4.9000000000000004</v>
      </c>
      <c r="E14" s="480">
        <v>171.8</v>
      </c>
      <c r="F14" s="478">
        <v>0</v>
      </c>
      <c r="G14" s="478">
        <v>43.4</v>
      </c>
      <c r="H14" s="478">
        <v>133.30000000000001</v>
      </c>
      <c r="I14" s="474"/>
    </row>
    <row r="15" spans="1:9" s="150" customFormat="1" ht="15" customHeight="1">
      <c r="B15" s="14" t="s">
        <v>31</v>
      </c>
      <c r="C15" s="471">
        <f t="shared" ref="C15:H15" si="2">SUM(C16:C19)</f>
        <v>925.2</v>
      </c>
      <c r="D15" s="472">
        <f t="shared" si="2"/>
        <v>17.400000000000002</v>
      </c>
      <c r="E15" s="473">
        <f t="shared" si="2"/>
        <v>907.8</v>
      </c>
      <c r="F15" s="471">
        <f t="shared" si="2"/>
        <v>31.8</v>
      </c>
      <c r="G15" s="471">
        <f t="shared" si="2"/>
        <v>184.4</v>
      </c>
      <c r="H15" s="471">
        <f t="shared" si="2"/>
        <v>709</v>
      </c>
      <c r="I15" s="474"/>
    </row>
    <row r="16" spans="1:9" s="150" customFormat="1" ht="15" customHeight="1">
      <c r="B16" s="20" t="s">
        <v>8</v>
      </c>
      <c r="C16" s="475">
        <v>248.7</v>
      </c>
      <c r="D16" s="476">
        <v>5.7</v>
      </c>
      <c r="E16" s="477">
        <v>243</v>
      </c>
      <c r="F16" s="475">
        <v>10.199999999999999</v>
      </c>
      <c r="G16" s="475">
        <v>39.5</v>
      </c>
      <c r="H16" s="475">
        <v>199</v>
      </c>
      <c r="I16" s="474"/>
    </row>
    <row r="17" spans="2:9" s="150" customFormat="1" ht="15" customHeight="1">
      <c r="B17" s="20" t="s">
        <v>11</v>
      </c>
      <c r="C17" s="475">
        <v>312</v>
      </c>
      <c r="D17" s="476">
        <v>3.7</v>
      </c>
      <c r="E17" s="477">
        <v>308.3</v>
      </c>
      <c r="F17" s="475">
        <v>21.6</v>
      </c>
      <c r="G17" s="475">
        <v>65.7</v>
      </c>
      <c r="H17" s="475">
        <v>224.7</v>
      </c>
      <c r="I17" s="474"/>
    </row>
    <row r="18" spans="2:9" s="150" customFormat="1" ht="15" customHeight="1">
      <c r="B18" s="20" t="s">
        <v>12</v>
      </c>
      <c r="C18" s="475">
        <v>187.1</v>
      </c>
      <c r="D18" s="476">
        <v>4.4000000000000004</v>
      </c>
      <c r="E18" s="477">
        <v>182.7</v>
      </c>
      <c r="F18" s="475">
        <v>0</v>
      </c>
      <c r="G18" s="475">
        <v>35.799999999999997</v>
      </c>
      <c r="H18" s="475">
        <v>151.30000000000001</v>
      </c>
      <c r="I18" s="474"/>
    </row>
    <row r="19" spans="2:9" s="150" customFormat="1" ht="15" customHeight="1">
      <c r="B19" s="31" t="s">
        <v>13</v>
      </c>
      <c r="C19" s="478">
        <v>177.4</v>
      </c>
      <c r="D19" s="479">
        <v>3.6</v>
      </c>
      <c r="E19" s="480">
        <v>173.8</v>
      </c>
      <c r="F19" s="478">
        <v>0</v>
      </c>
      <c r="G19" s="478">
        <v>43.4</v>
      </c>
      <c r="H19" s="478">
        <v>134</v>
      </c>
      <c r="I19" s="474"/>
    </row>
    <row r="20" spans="2:9" s="150" customFormat="1" ht="15" customHeight="1">
      <c r="B20" s="14" t="s">
        <v>35</v>
      </c>
      <c r="C20" s="471">
        <f t="shared" ref="C20:H20" si="3">SUM(C21:C24)</f>
        <v>938.8</v>
      </c>
      <c r="D20" s="472">
        <f t="shared" si="3"/>
        <v>17.799999999999997</v>
      </c>
      <c r="E20" s="473">
        <f t="shared" si="3"/>
        <v>920.80000000000007</v>
      </c>
      <c r="F20" s="471">
        <f t="shared" si="3"/>
        <v>31.8</v>
      </c>
      <c r="G20" s="471">
        <f t="shared" si="3"/>
        <v>184.4</v>
      </c>
      <c r="H20" s="471">
        <f t="shared" si="3"/>
        <v>722.5</v>
      </c>
      <c r="I20" s="474"/>
    </row>
    <row r="21" spans="2:9" s="150" customFormat="1" ht="15" customHeight="1">
      <c r="B21" s="20" t="s">
        <v>8</v>
      </c>
      <c r="C21" s="475">
        <v>253</v>
      </c>
      <c r="D21" s="476">
        <v>5.8</v>
      </c>
      <c r="E21" s="477">
        <v>247.1</v>
      </c>
      <c r="F21" s="475">
        <v>10.199999999999999</v>
      </c>
      <c r="G21" s="475">
        <v>39.5</v>
      </c>
      <c r="H21" s="475">
        <v>203.3</v>
      </c>
      <c r="I21" s="474"/>
    </row>
    <row r="22" spans="2:9" s="150" customFormat="1" ht="15" customHeight="1">
      <c r="B22" s="20" t="s">
        <v>11</v>
      </c>
      <c r="C22" s="475">
        <v>312</v>
      </c>
      <c r="D22" s="476">
        <v>3.7</v>
      </c>
      <c r="E22" s="477">
        <v>308.3</v>
      </c>
      <c r="F22" s="475">
        <v>21.6</v>
      </c>
      <c r="G22" s="475">
        <v>65.7</v>
      </c>
      <c r="H22" s="475">
        <v>224.7</v>
      </c>
      <c r="I22" s="474"/>
    </row>
    <row r="23" spans="2:9" s="150" customFormat="1" ht="15" customHeight="1">
      <c r="B23" s="20" t="s">
        <v>12</v>
      </c>
      <c r="C23" s="475">
        <v>193.6</v>
      </c>
      <c r="D23" s="476">
        <v>4.2</v>
      </c>
      <c r="E23" s="477">
        <v>189.3</v>
      </c>
      <c r="F23" s="481">
        <v>0</v>
      </c>
      <c r="G23" s="475">
        <v>35.799999999999997</v>
      </c>
      <c r="H23" s="475">
        <v>157.80000000000001</v>
      </c>
      <c r="I23" s="474"/>
    </row>
    <row r="24" spans="2:9" s="150" customFormat="1" ht="15" customHeight="1">
      <c r="B24" s="31" t="s">
        <v>13</v>
      </c>
      <c r="C24" s="478">
        <v>180.2</v>
      </c>
      <c r="D24" s="479">
        <v>4.0999999999999996</v>
      </c>
      <c r="E24" s="480">
        <v>176.1</v>
      </c>
      <c r="F24" s="482">
        <v>0</v>
      </c>
      <c r="G24" s="478">
        <v>43.4</v>
      </c>
      <c r="H24" s="478">
        <v>136.69999999999999</v>
      </c>
      <c r="I24" s="474"/>
    </row>
    <row r="25" spans="2:9" s="150" customFormat="1" ht="15" customHeight="1">
      <c r="B25" s="14" t="s">
        <v>36</v>
      </c>
      <c r="C25" s="471">
        <f t="shared" ref="C25:H25" si="4">SUM(C26:C29)</f>
        <v>939.9</v>
      </c>
      <c r="D25" s="472">
        <f t="shared" si="4"/>
        <v>18.199999999999996</v>
      </c>
      <c r="E25" s="473">
        <f t="shared" si="4"/>
        <v>921.69999999999993</v>
      </c>
      <c r="F25" s="471">
        <f t="shared" si="4"/>
        <v>31.8</v>
      </c>
      <c r="G25" s="471">
        <f t="shared" si="4"/>
        <v>184.4</v>
      </c>
      <c r="H25" s="471">
        <f t="shared" si="4"/>
        <v>723.7</v>
      </c>
      <c r="I25" s="474"/>
    </row>
    <row r="26" spans="2:9" s="150" customFormat="1" ht="15" customHeight="1">
      <c r="B26" s="20" t="s">
        <v>8</v>
      </c>
      <c r="C26" s="475">
        <v>253.6</v>
      </c>
      <c r="D26" s="476">
        <v>5.8</v>
      </c>
      <c r="E26" s="477">
        <v>247.7</v>
      </c>
      <c r="F26" s="475">
        <v>10.199999999999999</v>
      </c>
      <c r="G26" s="475">
        <v>39.5</v>
      </c>
      <c r="H26" s="475">
        <v>203.9</v>
      </c>
      <c r="I26" s="474"/>
    </row>
    <row r="27" spans="2:9" s="150" customFormat="1" ht="15" customHeight="1">
      <c r="B27" s="20" t="s">
        <v>11</v>
      </c>
      <c r="C27" s="475">
        <v>311.89999999999998</v>
      </c>
      <c r="D27" s="476">
        <v>4.0999999999999996</v>
      </c>
      <c r="E27" s="477">
        <v>307.89999999999998</v>
      </c>
      <c r="F27" s="475">
        <v>21.6</v>
      </c>
      <c r="G27" s="475">
        <v>65.7</v>
      </c>
      <c r="H27" s="475">
        <v>224.6</v>
      </c>
      <c r="I27" s="474"/>
    </row>
    <row r="28" spans="2:9" s="150" customFormat="1" ht="15" customHeight="1">
      <c r="B28" s="20" t="s">
        <v>12</v>
      </c>
      <c r="C28" s="475">
        <v>193.9</v>
      </c>
      <c r="D28" s="476">
        <v>4.2</v>
      </c>
      <c r="E28" s="477">
        <v>189.7</v>
      </c>
      <c r="F28" s="481">
        <v>0</v>
      </c>
      <c r="G28" s="475">
        <v>35.799999999999997</v>
      </c>
      <c r="H28" s="475">
        <v>158.19999999999999</v>
      </c>
      <c r="I28" s="474"/>
    </row>
    <row r="29" spans="2:9" s="150" customFormat="1" ht="15" customHeight="1">
      <c r="B29" s="31" t="s">
        <v>13</v>
      </c>
      <c r="C29" s="478">
        <v>180.5</v>
      </c>
      <c r="D29" s="479">
        <v>4.0999999999999996</v>
      </c>
      <c r="E29" s="480">
        <v>176.4</v>
      </c>
      <c r="F29" s="482">
        <v>0</v>
      </c>
      <c r="G29" s="478">
        <v>43.4</v>
      </c>
      <c r="H29" s="478">
        <v>137</v>
      </c>
      <c r="I29" s="474"/>
    </row>
    <row r="30" spans="2:9" s="150" customFormat="1" ht="15" customHeight="1">
      <c r="B30" s="14" t="s">
        <v>38</v>
      </c>
      <c r="C30" s="471">
        <f t="shared" ref="C30:H30" si="5">SUM(C31:C34)</f>
        <v>945.30000000000007</v>
      </c>
      <c r="D30" s="472">
        <f t="shared" si="5"/>
        <v>18.799999999999997</v>
      </c>
      <c r="E30" s="473">
        <f t="shared" si="5"/>
        <v>926.5</v>
      </c>
      <c r="F30" s="471">
        <f t="shared" si="5"/>
        <v>31.8</v>
      </c>
      <c r="G30" s="471">
        <f t="shared" si="5"/>
        <v>184.4</v>
      </c>
      <c r="H30" s="471">
        <f t="shared" si="5"/>
        <v>729.1</v>
      </c>
      <c r="I30" s="474"/>
    </row>
    <row r="31" spans="2:9" s="150" customFormat="1" ht="15" customHeight="1">
      <c r="B31" s="20" t="s">
        <v>8</v>
      </c>
      <c r="C31" s="475">
        <v>253.4</v>
      </c>
      <c r="D31" s="476">
        <v>5.8</v>
      </c>
      <c r="E31" s="477">
        <v>247.6</v>
      </c>
      <c r="F31" s="475">
        <v>10.199999999999999</v>
      </c>
      <c r="G31" s="475">
        <v>39.5</v>
      </c>
      <c r="H31" s="475">
        <v>203.7</v>
      </c>
      <c r="I31" s="474"/>
    </row>
    <row r="32" spans="2:9" s="150" customFormat="1" ht="15" customHeight="1">
      <c r="B32" s="20" t="s">
        <v>11</v>
      </c>
      <c r="C32" s="475">
        <v>313.8</v>
      </c>
      <c r="D32" s="476">
        <v>4.0999999999999996</v>
      </c>
      <c r="E32" s="477">
        <v>309.7</v>
      </c>
      <c r="F32" s="475">
        <v>21.6</v>
      </c>
      <c r="G32" s="475">
        <v>65.7</v>
      </c>
      <c r="H32" s="475">
        <v>226.5</v>
      </c>
      <c r="I32" s="474"/>
    </row>
    <row r="33" spans="2:10" s="150" customFormat="1" ht="15" customHeight="1">
      <c r="B33" s="20" t="s">
        <v>12</v>
      </c>
      <c r="C33" s="475">
        <v>194.6</v>
      </c>
      <c r="D33" s="476">
        <v>4.2</v>
      </c>
      <c r="E33" s="477">
        <v>190.4</v>
      </c>
      <c r="F33" s="483">
        <v>0</v>
      </c>
      <c r="G33" s="475">
        <v>35.799999999999997</v>
      </c>
      <c r="H33" s="475">
        <v>158.80000000000001</v>
      </c>
      <c r="I33" s="474"/>
    </row>
    <row r="34" spans="2:10" s="150" customFormat="1" ht="15" customHeight="1">
      <c r="B34" s="31" t="s">
        <v>13</v>
      </c>
      <c r="C34" s="478">
        <v>183.5</v>
      </c>
      <c r="D34" s="479">
        <v>4.7</v>
      </c>
      <c r="E34" s="480">
        <v>178.8</v>
      </c>
      <c r="F34" s="484">
        <v>0</v>
      </c>
      <c r="G34" s="478">
        <v>43.4</v>
      </c>
      <c r="H34" s="478">
        <v>140.1</v>
      </c>
      <c r="I34" s="474"/>
    </row>
    <row r="35" spans="2:10" s="150" customFormat="1" ht="15" customHeight="1">
      <c r="B35" s="14" t="s">
        <v>39</v>
      </c>
      <c r="C35" s="471">
        <f t="shared" ref="C35:H35" si="6">SUM(C36:C39)</f>
        <v>952.40000000000009</v>
      </c>
      <c r="D35" s="472">
        <f t="shared" si="6"/>
        <v>18.5</v>
      </c>
      <c r="E35" s="473">
        <f t="shared" si="6"/>
        <v>934</v>
      </c>
      <c r="F35" s="471">
        <f t="shared" si="6"/>
        <v>31.8</v>
      </c>
      <c r="G35" s="471">
        <f t="shared" si="6"/>
        <v>185.29999999999998</v>
      </c>
      <c r="H35" s="471">
        <f t="shared" si="6"/>
        <v>735.4</v>
      </c>
      <c r="I35" s="474"/>
    </row>
    <row r="36" spans="2:10" s="150" customFormat="1" ht="15" customHeight="1">
      <c r="B36" s="20" t="s">
        <v>8</v>
      </c>
      <c r="C36" s="485">
        <v>255.4</v>
      </c>
      <c r="D36" s="486">
        <v>5.7</v>
      </c>
      <c r="E36" s="487">
        <v>249.8</v>
      </c>
      <c r="F36" s="488">
        <v>10.199999999999999</v>
      </c>
      <c r="G36" s="488">
        <v>39.5</v>
      </c>
      <c r="H36" s="488">
        <v>205.8</v>
      </c>
      <c r="I36" s="474"/>
    </row>
    <row r="37" spans="2:10" s="150" customFormat="1" ht="15" customHeight="1">
      <c r="B37" s="20" t="s">
        <v>11</v>
      </c>
      <c r="C37" s="485">
        <v>317.10000000000002</v>
      </c>
      <c r="D37" s="486">
        <v>4.0999999999999996</v>
      </c>
      <c r="E37" s="487">
        <v>313</v>
      </c>
      <c r="F37" s="488">
        <v>21.6</v>
      </c>
      <c r="G37" s="488">
        <v>66.599999999999994</v>
      </c>
      <c r="H37" s="488">
        <v>228.9</v>
      </c>
      <c r="I37" s="474"/>
    </row>
    <row r="38" spans="2:10" s="150" customFormat="1" ht="15" customHeight="1">
      <c r="B38" s="20" t="s">
        <v>12</v>
      </c>
      <c r="C38" s="485">
        <v>194.6</v>
      </c>
      <c r="D38" s="486">
        <v>4.2</v>
      </c>
      <c r="E38" s="487">
        <v>190.4</v>
      </c>
      <c r="F38" s="489" t="s">
        <v>9</v>
      </c>
      <c r="G38" s="488">
        <v>35.799999999999997</v>
      </c>
      <c r="H38" s="488">
        <v>158.80000000000001</v>
      </c>
      <c r="I38" s="474"/>
    </row>
    <row r="39" spans="2:10" s="150" customFormat="1" ht="15" customHeight="1">
      <c r="B39" s="31" t="s">
        <v>13</v>
      </c>
      <c r="C39" s="485">
        <v>185.3</v>
      </c>
      <c r="D39" s="486">
        <v>4.5</v>
      </c>
      <c r="E39" s="487">
        <v>180.8</v>
      </c>
      <c r="F39" s="489" t="s">
        <v>9</v>
      </c>
      <c r="G39" s="488">
        <v>43.4</v>
      </c>
      <c r="H39" s="488">
        <v>141.9</v>
      </c>
      <c r="I39" s="474"/>
    </row>
    <row r="40" spans="2:10" s="274" customFormat="1" ht="15" customHeight="1">
      <c r="B40" s="14" t="s">
        <v>40</v>
      </c>
      <c r="C40" s="471">
        <f t="shared" ref="C40:H40" si="7">SUM(C41:C44)</f>
        <v>959.2</v>
      </c>
      <c r="D40" s="490">
        <f t="shared" si="7"/>
        <v>18.399999999999999</v>
      </c>
      <c r="E40" s="473">
        <f t="shared" si="7"/>
        <v>941</v>
      </c>
      <c r="F40" s="471">
        <f t="shared" si="7"/>
        <v>33.599999999999994</v>
      </c>
      <c r="G40" s="471">
        <f t="shared" si="7"/>
        <v>185.29999999999998</v>
      </c>
      <c r="H40" s="471">
        <f t="shared" si="7"/>
        <v>740.40000000000009</v>
      </c>
      <c r="I40" s="474"/>
      <c r="J40" s="150"/>
    </row>
    <row r="41" spans="2:10" ht="15" customHeight="1">
      <c r="B41" s="20" t="s">
        <v>8</v>
      </c>
      <c r="C41" s="475">
        <v>255.4</v>
      </c>
      <c r="D41" s="491">
        <v>5.7</v>
      </c>
      <c r="E41" s="477">
        <v>249.8</v>
      </c>
      <c r="F41" s="475">
        <v>10.199999999999999</v>
      </c>
      <c r="G41" s="475">
        <v>39.5</v>
      </c>
      <c r="H41" s="475">
        <v>205.8</v>
      </c>
      <c r="I41" s="474"/>
      <c r="J41" s="150"/>
    </row>
    <row r="42" spans="2:10" ht="15" customHeight="1">
      <c r="B42" s="20" t="s">
        <v>11</v>
      </c>
      <c r="C42" s="475">
        <v>322</v>
      </c>
      <c r="D42" s="476">
        <v>4.0999999999999996</v>
      </c>
      <c r="E42" s="477">
        <v>318</v>
      </c>
      <c r="F42" s="475">
        <v>23.4</v>
      </c>
      <c r="G42" s="475">
        <v>66.599999999999994</v>
      </c>
      <c r="H42" s="475">
        <v>232</v>
      </c>
      <c r="I42" s="474"/>
      <c r="J42" s="150"/>
    </row>
    <row r="43" spans="2:10" ht="15" customHeight="1">
      <c r="B43" s="20" t="s">
        <v>12</v>
      </c>
      <c r="C43" s="475">
        <v>195.6</v>
      </c>
      <c r="D43" s="476">
        <v>4</v>
      </c>
      <c r="E43" s="477">
        <v>191.6</v>
      </c>
      <c r="F43" s="492" t="s">
        <v>9</v>
      </c>
      <c r="G43" s="475">
        <v>35.799999999999997</v>
      </c>
      <c r="H43" s="475">
        <v>159.80000000000001</v>
      </c>
      <c r="I43" s="474"/>
      <c r="J43" s="150"/>
    </row>
    <row r="44" spans="2:10" ht="15" customHeight="1">
      <c r="B44" s="31" t="s">
        <v>13</v>
      </c>
      <c r="C44" s="478">
        <v>186.2</v>
      </c>
      <c r="D44" s="479">
        <v>4.5999999999999996</v>
      </c>
      <c r="E44" s="480">
        <v>181.6</v>
      </c>
      <c r="F44" s="492" t="s">
        <v>9</v>
      </c>
      <c r="G44" s="478">
        <v>43.4</v>
      </c>
      <c r="H44" s="478">
        <v>142.80000000000001</v>
      </c>
      <c r="I44" s="474"/>
      <c r="J44" s="150"/>
    </row>
    <row r="45" spans="2:10" s="496" customFormat="1" ht="18" customHeight="1">
      <c r="B45" s="290" t="s">
        <v>41</v>
      </c>
      <c r="C45" s="493">
        <v>964.6</v>
      </c>
      <c r="D45" s="494">
        <v>18.399999999999999</v>
      </c>
      <c r="E45" s="495">
        <v>946.2</v>
      </c>
      <c r="F45" s="493">
        <v>33.6</v>
      </c>
      <c r="G45" s="493">
        <v>185.3</v>
      </c>
      <c r="H45" s="493">
        <v>745.7</v>
      </c>
    </row>
    <row r="46" spans="2:10" s="496" customFormat="1" ht="18" customHeight="1">
      <c r="B46" s="290" t="s">
        <v>42</v>
      </c>
      <c r="C46" s="493">
        <v>969.7</v>
      </c>
      <c r="D46" s="494">
        <v>18.399999999999999</v>
      </c>
      <c r="E46" s="495">
        <v>951.3</v>
      </c>
      <c r="F46" s="493">
        <v>33.6</v>
      </c>
      <c r="G46" s="493">
        <v>185.3</v>
      </c>
      <c r="H46" s="493">
        <v>750.8</v>
      </c>
    </row>
    <row r="47" spans="2:10" s="496" customFormat="1" ht="18" customHeight="1">
      <c r="B47" s="290" t="s">
        <v>43</v>
      </c>
      <c r="C47" s="494">
        <v>986.5</v>
      </c>
      <c r="D47" s="494">
        <v>18.399999999999999</v>
      </c>
      <c r="E47" s="495">
        <v>968.1</v>
      </c>
      <c r="F47" s="493">
        <v>33.700000000000003</v>
      </c>
      <c r="G47" s="493">
        <v>201.9</v>
      </c>
      <c r="H47" s="493">
        <v>750.9</v>
      </c>
    </row>
    <row r="48" spans="2:10" s="274" customFormat="1" ht="18" customHeight="1">
      <c r="B48" s="290" t="s">
        <v>44</v>
      </c>
      <c r="C48" s="497">
        <v>1014.6</v>
      </c>
      <c r="D48" s="498">
        <v>10.3</v>
      </c>
      <c r="E48" s="499">
        <v>1004.3</v>
      </c>
      <c r="F48" s="497">
        <v>33.700000000000003</v>
      </c>
      <c r="G48" s="497">
        <v>201.9</v>
      </c>
      <c r="H48" s="497">
        <v>779</v>
      </c>
      <c r="I48" s="474"/>
      <c r="J48" s="150"/>
    </row>
    <row r="49" spans="2:10" s="274" customFormat="1" ht="18" customHeight="1">
      <c r="B49" s="290" t="s">
        <v>45</v>
      </c>
      <c r="C49" s="497">
        <v>1018.1</v>
      </c>
      <c r="D49" s="498">
        <v>7.9</v>
      </c>
      <c r="E49" s="499">
        <v>1010.2</v>
      </c>
      <c r="F49" s="497">
        <v>33.700000000000003</v>
      </c>
      <c r="G49" s="497">
        <v>201.9</v>
      </c>
      <c r="H49" s="497">
        <v>782.5</v>
      </c>
      <c r="I49" s="474"/>
      <c r="J49" s="150"/>
    </row>
    <row r="50" spans="2:10" s="274" customFormat="1" ht="18" customHeight="1">
      <c r="B50" s="290" t="s">
        <v>46</v>
      </c>
      <c r="C50" s="497">
        <v>1021.5</v>
      </c>
      <c r="D50" s="498">
        <v>10.3</v>
      </c>
      <c r="E50" s="499">
        <v>1011.2</v>
      </c>
      <c r="F50" s="497">
        <v>33.700000000000003</v>
      </c>
      <c r="G50" s="497">
        <v>201.9</v>
      </c>
      <c r="H50" s="497">
        <v>785.9</v>
      </c>
      <c r="I50" s="474"/>
      <c r="J50" s="150"/>
    </row>
    <row r="51" spans="2:10" s="274" customFormat="1" ht="18" customHeight="1">
      <c r="B51" s="290" t="s">
        <v>47</v>
      </c>
      <c r="C51" s="497">
        <v>1035.4000000000001</v>
      </c>
      <c r="D51" s="498">
        <v>7.1</v>
      </c>
      <c r="E51" s="499">
        <v>1028.3</v>
      </c>
      <c r="F51" s="497">
        <v>33.700000000000003</v>
      </c>
      <c r="G51" s="497">
        <v>201.9</v>
      </c>
      <c r="H51" s="497">
        <v>799.8</v>
      </c>
      <c r="I51" s="474"/>
      <c r="J51" s="150"/>
    </row>
    <row r="52" spans="2:10" s="274" customFormat="1" ht="18" customHeight="1">
      <c r="B52" s="290" t="s">
        <v>48</v>
      </c>
      <c r="C52" s="497">
        <v>1001.7</v>
      </c>
      <c r="D52" s="498">
        <v>8</v>
      </c>
      <c r="E52" s="499">
        <v>960</v>
      </c>
      <c r="F52" s="497">
        <v>33.700000000000003</v>
      </c>
      <c r="G52" s="497">
        <v>183.6</v>
      </c>
      <c r="H52" s="497">
        <v>794</v>
      </c>
      <c r="I52" s="474"/>
      <c r="J52" s="150"/>
    </row>
    <row r="53" spans="2:10" s="274" customFormat="1" ht="18" customHeight="1">
      <c r="B53" s="290" t="s">
        <v>49</v>
      </c>
      <c r="C53" s="497">
        <v>1003.2</v>
      </c>
      <c r="D53" s="498">
        <v>7.5</v>
      </c>
      <c r="E53" s="499">
        <v>995.7</v>
      </c>
      <c r="F53" s="497">
        <v>33.700000000000003</v>
      </c>
      <c r="G53" s="497">
        <v>183.6</v>
      </c>
      <c r="H53" s="497">
        <v>785.9</v>
      </c>
      <c r="I53" s="474"/>
      <c r="J53" s="150"/>
    </row>
    <row r="54" spans="2:10" s="274" customFormat="1" ht="18" customHeight="1">
      <c r="B54" s="290" t="s">
        <v>50</v>
      </c>
      <c r="C54" s="497">
        <v>1004.1</v>
      </c>
      <c r="D54" s="498">
        <v>7.4</v>
      </c>
      <c r="E54" s="499">
        <v>996.7</v>
      </c>
      <c r="F54" s="497">
        <v>33.700000000000003</v>
      </c>
      <c r="G54" s="497">
        <v>183.6</v>
      </c>
      <c r="H54" s="497">
        <v>786.8</v>
      </c>
      <c r="I54" s="474"/>
      <c r="J54" s="150"/>
    </row>
    <row r="55" spans="2:10" s="274" customFormat="1" ht="18" customHeight="1">
      <c r="B55" s="290" t="s">
        <v>51</v>
      </c>
      <c r="C55" s="497">
        <v>1004.1</v>
      </c>
      <c r="D55" s="498">
        <v>7.4</v>
      </c>
      <c r="E55" s="499">
        <v>996.7</v>
      </c>
      <c r="F55" s="497">
        <v>33.700000000000003</v>
      </c>
      <c r="G55" s="497">
        <v>183.6</v>
      </c>
      <c r="H55" s="497">
        <v>786.8</v>
      </c>
      <c r="I55" s="474"/>
      <c r="J55" s="150"/>
    </row>
    <row r="56" spans="2:10" ht="15" customHeight="1">
      <c r="B56" s="150" t="s">
        <v>467</v>
      </c>
      <c r="C56" s="150"/>
      <c r="D56" s="150"/>
      <c r="E56" s="150"/>
      <c r="F56" s="150"/>
      <c r="G56" s="150"/>
      <c r="H56" s="186" t="s">
        <v>468</v>
      </c>
    </row>
    <row r="57" spans="2:10">
      <c r="C57" s="150"/>
      <c r="D57" s="150"/>
      <c r="E57" s="150"/>
      <c r="F57" s="150"/>
      <c r="G57" s="150"/>
      <c r="H57" s="186" t="s">
        <v>469</v>
      </c>
    </row>
    <row r="58" spans="2:10">
      <c r="B58" s="150"/>
      <c r="C58" s="150"/>
      <c r="D58" s="150"/>
      <c r="E58" s="150"/>
      <c r="F58" s="150"/>
      <c r="G58" s="150"/>
      <c r="H58" s="150"/>
    </row>
    <row r="59" spans="2:10">
      <c r="B59" s="150"/>
      <c r="C59" s="150"/>
      <c r="D59" s="150"/>
      <c r="E59" s="150"/>
      <c r="F59" s="150"/>
      <c r="G59" s="150"/>
      <c r="H59" s="150"/>
    </row>
  </sheetData>
  <mergeCells count="6">
    <mergeCell ref="H3:H4"/>
    <mergeCell ref="B3:B4"/>
    <mergeCell ref="C3:C4"/>
    <mergeCell ref="D3:E3"/>
    <mergeCell ref="F3:F4"/>
    <mergeCell ref="G3:G4"/>
  </mergeCells>
  <phoneticPr fontId="1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>
    <oddHeader>&amp;R15.交通・通信</oddHeader>
    <oddFooter>&amp;C-100-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"/>
  <sheetViews>
    <sheetView showGridLines="0" zoomScaleNormal="100" workbookViewId="0">
      <selection activeCell="B3" sqref="B3:B5"/>
    </sheetView>
  </sheetViews>
  <sheetFormatPr defaultRowHeight="11.25"/>
  <cols>
    <col min="1" max="1" width="3.625" style="48" customWidth="1"/>
    <col min="2" max="4" width="7.625" style="140" customWidth="1"/>
    <col min="5" max="5" width="6.625" style="140" customWidth="1"/>
    <col min="6" max="6" width="6.875" style="140" customWidth="1"/>
    <col min="7" max="7" width="4.875" style="141" customWidth="1"/>
    <col min="8" max="8" width="4.125" style="142" customWidth="1"/>
    <col min="9" max="9" width="4.125" style="143" customWidth="1"/>
    <col min="10" max="11" width="5.625" style="144" customWidth="1"/>
    <col min="12" max="12" width="3.625" style="145" customWidth="1"/>
    <col min="13" max="13" width="3.625" style="90" customWidth="1"/>
    <col min="14" max="14" width="3.625" style="146" customWidth="1"/>
    <col min="15" max="15" width="3.625" style="90" customWidth="1"/>
    <col min="16" max="16" width="3.875" style="147" customWidth="1"/>
    <col min="17" max="17" width="3.625" style="147" customWidth="1"/>
    <col min="18" max="18" width="5.875" style="146" customWidth="1"/>
    <col min="19" max="256" width="9" style="48"/>
    <col min="257" max="257" width="3.625" style="48" customWidth="1"/>
    <col min="258" max="260" width="7.625" style="48" customWidth="1"/>
    <col min="261" max="261" width="6.625" style="48" customWidth="1"/>
    <col min="262" max="262" width="6.875" style="48" customWidth="1"/>
    <col min="263" max="263" width="4.875" style="48" customWidth="1"/>
    <col min="264" max="265" width="4.125" style="48" customWidth="1"/>
    <col min="266" max="267" width="5.625" style="48" customWidth="1"/>
    <col min="268" max="271" width="3.625" style="48" customWidth="1"/>
    <col min="272" max="272" width="3.875" style="48" customWidth="1"/>
    <col min="273" max="273" width="3.625" style="48" customWidth="1"/>
    <col min="274" max="274" width="5.875" style="48" customWidth="1"/>
    <col min="275" max="512" width="9" style="48"/>
    <col min="513" max="513" width="3.625" style="48" customWidth="1"/>
    <col min="514" max="516" width="7.625" style="48" customWidth="1"/>
    <col min="517" max="517" width="6.625" style="48" customWidth="1"/>
    <col min="518" max="518" width="6.875" style="48" customWidth="1"/>
    <col min="519" max="519" width="4.875" style="48" customWidth="1"/>
    <col min="520" max="521" width="4.125" style="48" customWidth="1"/>
    <col min="522" max="523" width="5.625" style="48" customWidth="1"/>
    <col min="524" max="527" width="3.625" style="48" customWidth="1"/>
    <col min="528" max="528" width="3.875" style="48" customWidth="1"/>
    <col min="529" max="529" width="3.625" style="48" customWidth="1"/>
    <col min="530" max="530" width="5.875" style="48" customWidth="1"/>
    <col min="531" max="768" width="9" style="48"/>
    <col min="769" max="769" width="3.625" style="48" customWidth="1"/>
    <col min="770" max="772" width="7.625" style="48" customWidth="1"/>
    <col min="773" max="773" width="6.625" style="48" customWidth="1"/>
    <col min="774" max="774" width="6.875" style="48" customWidth="1"/>
    <col min="775" max="775" width="4.875" style="48" customWidth="1"/>
    <col min="776" max="777" width="4.125" style="48" customWidth="1"/>
    <col min="778" max="779" width="5.625" style="48" customWidth="1"/>
    <col min="780" max="783" width="3.625" style="48" customWidth="1"/>
    <col min="784" max="784" width="3.875" style="48" customWidth="1"/>
    <col min="785" max="785" width="3.625" style="48" customWidth="1"/>
    <col min="786" max="786" width="5.875" style="48" customWidth="1"/>
    <col min="787" max="1024" width="9" style="48"/>
    <col min="1025" max="1025" width="3.625" style="48" customWidth="1"/>
    <col min="1026" max="1028" width="7.625" style="48" customWidth="1"/>
    <col min="1029" max="1029" width="6.625" style="48" customWidth="1"/>
    <col min="1030" max="1030" width="6.875" style="48" customWidth="1"/>
    <col min="1031" max="1031" width="4.875" style="48" customWidth="1"/>
    <col min="1032" max="1033" width="4.125" style="48" customWidth="1"/>
    <col min="1034" max="1035" width="5.625" style="48" customWidth="1"/>
    <col min="1036" max="1039" width="3.625" style="48" customWidth="1"/>
    <col min="1040" max="1040" width="3.875" style="48" customWidth="1"/>
    <col min="1041" max="1041" width="3.625" style="48" customWidth="1"/>
    <col min="1042" max="1042" width="5.875" style="48" customWidth="1"/>
    <col min="1043" max="1280" width="9" style="48"/>
    <col min="1281" max="1281" width="3.625" style="48" customWidth="1"/>
    <col min="1282" max="1284" width="7.625" style="48" customWidth="1"/>
    <col min="1285" max="1285" width="6.625" style="48" customWidth="1"/>
    <col min="1286" max="1286" width="6.875" style="48" customWidth="1"/>
    <col min="1287" max="1287" width="4.875" style="48" customWidth="1"/>
    <col min="1288" max="1289" width="4.125" style="48" customWidth="1"/>
    <col min="1290" max="1291" width="5.625" style="48" customWidth="1"/>
    <col min="1292" max="1295" width="3.625" style="48" customWidth="1"/>
    <col min="1296" max="1296" width="3.875" style="48" customWidth="1"/>
    <col min="1297" max="1297" width="3.625" style="48" customWidth="1"/>
    <col min="1298" max="1298" width="5.875" style="48" customWidth="1"/>
    <col min="1299" max="1536" width="9" style="48"/>
    <col min="1537" max="1537" width="3.625" style="48" customWidth="1"/>
    <col min="1538" max="1540" width="7.625" style="48" customWidth="1"/>
    <col min="1541" max="1541" width="6.625" style="48" customWidth="1"/>
    <col min="1542" max="1542" width="6.875" style="48" customWidth="1"/>
    <col min="1543" max="1543" width="4.875" style="48" customWidth="1"/>
    <col min="1544" max="1545" width="4.125" style="48" customWidth="1"/>
    <col min="1546" max="1547" width="5.625" style="48" customWidth="1"/>
    <col min="1548" max="1551" width="3.625" style="48" customWidth="1"/>
    <col min="1552" max="1552" width="3.875" style="48" customWidth="1"/>
    <col min="1553" max="1553" width="3.625" style="48" customWidth="1"/>
    <col min="1554" max="1554" width="5.875" style="48" customWidth="1"/>
    <col min="1555" max="1792" width="9" style="48"/>
    <col min="1793" max="1793" width="3.625" style="48" customWidth="1"/>
    <col min="1794" max="1796" width="7.625" style="48" customWidth="1"/>
    <col min="1797" max="1797" width="6.625" style="48" customWidth="1"/>
    <col min="1798" max="1798" width="6.875" style="48" customWidth="1"/>
    <col min="1799" max="1799" width="4.875" style="48" customWidth="1"/>
    <col min="1800" max="1801" width="4.125" style="48" customWidth="1"/>
    <col min="1802" max="1803" width="5.625" style="48" customWidth="1"/>
    <col min="1804" max="1807" width="3.625" style="48" customWidth="1"/>
    <col min="1808" max="1808" width="3.875" style="48" customWidth="1"/>
    <col min="1809" max="1809" width="3.625" style="48" customWidth="1"/>
    <col min="1810" max="1810" width="5.875" style="48" customWidth="1"/>
    <col min="1811" max="2048" width="9" style="48"/>
    <col min="2049" max="2049" width="3.625" style="48" customWidth="1"/>
    <col min="2050" max="2052" width="7.625" style="48" customWidth="1"/>
    <col min="2053" max="2053" width="6.625" style="48" customWidth="1"/>
    <col min="2054" max="2054" width="6.875" style="48" customWidth="1"/>
    <col min="2055" max="2055" width="4.875" style="48" customWidth="1"/>
    <col min="2056" max="2057" width="4.125" style="48" customWidth="1"/>
    <col min="2058" max="2059" width="5.625" style="48" customWidth="1"/>
    <col min="2060" max="2063" width="3.625" style="48" customWidth="1"/>
    <col min="2064" max="2064" width="3.875" style="48" customWidth="1"/>
    <col min="2065" max="2065" width="3.625" style="48" customWidth="1"/>
    <col min="2066" max="2066" width="5.875" style="48" customWidth="1"/>
    <col min="2067" max="2304" width="9" style="48"/>
    <col min="2305" max="2305" width="3.625" style="48" customWidth="1"/>
    <col min="2306" max="2308" width="7.625" style="48" customWidth="1"/>
    <col min="2309" max="2309" width="6.625" style="48" customWidth="1"/>
    <col min="2310" max="2310" width="6.875" style="48" customWidth="1"/>
    <col min="2311" max="2311" width="4.875" style="48" customWidth="1"/>
    <col min="2312" max="2313" width="4.125" style="48" customWidth="1"/>
    <col min="2314" max="2315" width="5.625" style="48" customWidth="1"/>
    <col min="2316" max="2319" width="3.625" style="48" customWidth="1"/>
    <col min="2320" max="2320" width="3.875" style="48" customWidth="1"/>
    <col min="2321" max="2321" width="3.625" style="48" customWidth="1"/>
    <col min="2322" max="2322" width="5.875" style="48" customWidth="1"/>
    <col min="2323" max="2560" width="9" style="48"/>
    <col min="2561" max="2561" width="3.625" style="48" customWidth="1"/>
    <col min="2562" max="2564" width="7.625" style="48" customWidth="1"/>
    <col min="2565" max="2565" width="6.625" style="48" customWidth="1"/>
    <col min="2566" max="2566" width="6.875" style="48" customWidth="1"/>
    <col min="2567" max="2567" width="4.875" style="48" customWidth="1"/>
    <col min="2568" max="2569" width="4.125" style="48" customWidth="1"/>
    <col min="2570" max="2571" width="5.625" style="48" customWidth="1"/>
    <col min="2572" max="2575" width="3.625" style="48" customWidth="1"/>
    <col min="2576" max="2576" width="3.875" style="48" customWidth="1"/>
    <col min="2577" max="2577" width="3.625" style="48" customWidth="1"/>
    <col min="2578" max="2578" width="5.875" style="48" customWidth="1"/>
    <col min="2579" max="2816" width="9" style="48"/>
    <col min="2817" max="2817" width="3.625" style="48" customWidth="1"/>
    <col min="2818" max="2820" width="7.625" style="48" customWidth="1"/>
    <col min="2821" max="2821" width="6.625" style="48" customWidth="1"/>
    <col min="2822" max="2822" width="6.875" style="48" customWidth="1"/>
    <col min="2823" max="2823" width="4.875" style="48" customWidth="1"/>
    <col min="2824" max="2825" width="4.125" style="48" customWidth="1"/>
    <col min="2826" max="2827" width="5.625" style="48" customWidth="1"/>
    <col min="2828" max="2831" width="3.625" style="48" customWidth="1"/>
    <col min="2832" max="2832" width="3.875" style="48" customWidth="1"/>
    <col min="2833" max="2833" width="3.625" style="48" customWidth="1"/>
    <col min="2834" max="2834" width="5.875" style="48" customWidth="1"/>
    <col min="2835" max="3072" width="9" style="48"/>
    <col min="3073" max="3073" width="3.625" style="48" customWidth="1"/>
    <col min="3074" max="3076" width="7.625" style="48" customWidth="1"/>
    <col min="3077" max="3077" width="6.625" style="48" customWidth="1"/>
    <col min="3078" max="3078" width="6.875" style="48" customWidth="1"/>
    <col min="3079" max="3079" width="4.875" style="48" customWidth="1"/>
    <col min="3080" max="3081" width="4.125" style="48" customWidth="1"/>
    <col min="3082" max="3083" width="5.625" style="48" customWidth="1"/>
    <col min="3084" max="3087" width="3.625" style="48" customWidth="1"/>
    <col min="3088" max="3088" width="3.875" style="48" customWidth="1"/>
    <col min="3089" max="3089" width="3.625" style="48" customWidth="1"/>
    <col min="3090" max="3090" width="5.875" style="48" customWidth="1"/>
    <col min="3091" max="3328" width="9" style="48"/>
    <col min="3329" max="3329" width="3.625" style="48" customWidth="1"/>
    <col min="3330" max="3332" width="7.625" style="48" customWidth="1"/>
    <col min="3333" max="3333" width="6.625" style="48" customWidth="1"/>
    <col min="3334" max="3334" width="6.875" style="48" customWidth="1"/>
    <col min="3335" max="3335" width="4.875" style="48" customWidth="1"/>
    <col min="3336" max="3337" width="4.125" style="48" customWidth="1"/>
    <col min="3338" max="3339" width="5.625" style="48" customWidth="1"/>
    <col min="3340" max="3343" width="3.625" style="48" customWidth="1"/>
    <col min="3344" max="3344" width="3.875" style="48" customWidth="1"/>
    <col min="3345" max="3345" width="3.625" style="48" customWidth="1"/>
    <col min="3346" max="3346" width="5.875" style="48" customWidth="1"/>
    <col min="3347" max="3584" width="9" style="48"/>
    <col min="3585" max="3585" width="3.625" style="48" customWidth="1"/>
    <col min="3586" max="3588" width="7.625" style="48" customWidth="1"/>
    <col min="3589" max="3589" width="6.625" style="48" customWidth="1"/>
    <col min="3590" max="3590" width="6.875" style="48" customWidth="1"/>
    <col min="3591" max="3591" width="4.875" style="48" customWidth="1"/>
    <col min="3592" max="3593" width="4.125" style="48" customWidth="1"/>
    <col min="3594" max="3595" width="5.625" style="48" customWidth="1"/>
    <col min="3596" max="3599" width="3.625" style="48" customWidth="1"/>
    <col min="3600" max="3600" width="3.875" style="48" customWidth="1"/>
    <col min="3601" max="3601" width="3.625" style="48" customWidth="1"/>
    <col min="3602" max="3602" width="5.875" style="48" customWidth="1"/>
    <col min="3603" max="3840" width="9" style="48"/>
    <col min="3841" max="3841" width="3.625" style="48" customWidth="1"/>
    <col min="3842" max="3844" width="7.625" style="48" customWidth="1"/>
    <col min="3845" max="3845" width="6.625" style="48" customWidth="1"/>
    <col min="3846" max="3846" width="6.875" style="48" customWidth="1"/>
    <col min="3847" max="3847" width="4.875" style="48" customWidth="1"/>
    <col min="3848" max="3849" width="4.125" style="48" customWidth="1"/>
    <col min="3850" max="3851" width="5.625" style="48" customWidth="1"/>
    <col min="3852" max="3855" width="3.625" style="48" customWidth="1"/>
    <col min="3856" max="3856" width="3.875" style="48" customWidth="1"/>
    <col min="3857" max="3857" width="3.625" style="48" customWidth="1"/>
    <col min="3858" max="3858" width="5.875" style="48" customWidth="1"/>
    <col min="3859" max="4096" width="9" style="48"/>
    <col min="4097" max="4097" width="3.625" style="48" customWidth="1"/>
    <col min="4098" max="4100" width="7.625" style="48" customWidth="1"/>
    <col min="4101" max="4101" width="6.625" style="48" customWidth="1"/>
    <col min="4102" max="4102" width="6.875" style="48" customWidth="1"/>
    <col min="4103" max="4103" width="4.875" style="48" customWidth="1"/>
    <col min="4104" max="4105" width="4.125" style="48" customWidth="1"/>
    <col min="4106" max="4107" width="5.625" style="48" customWidth="1"/>
    <col min="4108" max="4111" width="3.625" style="48" customWidth="1"/>
    <col min="4112" max="4112" width="3.875" style="48" customWidth="1"/>
    <col min="4113" max="4113" width="3.625" style="48" customWidth="1"/>
    <col min="4114" max="4114" width="5.875" style="48" customWidth="1"/>
    <col min="4115" max="4352" width="9" style="48"/>
    <col min="4353" max="4353" width="3.625" style="48" customWidth="1"/>
    <col min="4354" max="4356" width="7.625" style="48" customWidth="1"/>
    <col min="4357" max="4357" width="6.625" style="48" customWidth="1"/>
    <col min="4358" max="4358" width="6.875" style="48" customWidth="1"/>
    <col min="4359" max="4359" width="4.875" style="48" customWidth="1"/>
    <col min="4360" max="4361" width="4.125" style="48" customWidth="1"/>
    <col min="4362" max="4363" width="5.625" style="48" customWidth="1"/>
    <col min="4364" max="4367" width="3.625" style="48" customWidth="1"/>
    <col min="4368" max="4368" width="3.875" style="48" customWidth="1"/>
    <col min="4369" max="4369" width="3.625" style="48" customWidth="1"/>
    <col min="4370" max="4370" width="5.875" style="48" customWidth="1"/>
    <col min="4371" max="4608" width="9" style="48"/>
    <col min="4609" max="4609" width="3.625" style="48" customWidth="1"/>
    <col min="4610" max="4612" width="7.625" style="48" customWidth="1"/>
    <col min="4613" max="4613" width="6.625" style="48" customWidth="1"/>
    <col min="4614" max="4614" width="6.875" style="48" customWidth="1"/>
    <col min="4615" max="4615" width="4.875" style="48" customWidth="1"/>
    <col min="4616" max="4617" width="4.125" style="48" customWidth="1"/>
    <col min="4618" max="4619" width="5.625" style="48" customWidth="1"/>
    <col min="4620" max="4623" width="3.625" style="48" customWidth="1"/>
    <col min="4624" max="4624" width="3.875" style="48" customWidth="1"/>
    <col min="4625" max="4625" width="3.625" style="48" customWidth="1"/>
    <col min="4626" max="4626" width="5.875" style="48" customWidth="1"/>
    <col min="4627" max="4864" width="9" style="48"/>
    <col min="4865" max="4865" width="3.625" style="48" customWidth="1"/>
    <col min="4866" max="4868" width="7.625" style="48" customWidth="1"/>
    <col min="4869" max="4869" width="6.625" style="48" customWidth="1"/>
    <col min="4870" max="4870" width="6.875" style="48" customWidth="1"/>
    <col min="4871" max="4871" width="4.875" style="48" customWidth="1"/>
    <col min="4872" max="4873" width="4.125" style="48" customWidth="1"/>
    <col min="4874" max="4875" width="5.625" style="48" customWidth="1"/>
    <col min="4876" max="4879" width="3.625" style="48" customWidth="1"/>
    <col min="4880" max="4880" width="3.875" style="48" customWidth="1"/>
    <col min="4881" max="4881" width="3.625" style="48" customWidth="1"/>
    <col min="4882" max="4882" width="5.875" style="48" customWidth="1"/>
    <col min="4883" max="5120" width="9" style="48"/>
    <col min="5121" max="5121" width="3.625" style="48" customWidth="1"/>
    <col min="5122" max="5124" width="7.625" style="48" customWidth="1"/>
    <col min="5125" max="5125" width="6.625" style="48" customWidth="1"/>
    <col min="5126" max="5126" width="6.875" style="48" customWidth="1"/>
    <col min="5127" max="5127" width="4.875" style="48" customWidth="1"/>
    <col min="5128" max="5129" width="4.125" style="48" customWidth="1"/>
    <col min="5130" max="5131" width="5.625" style="48" customWidth="1"/>
    <col min="5132" max="5135" width="3.625" style="48" customWidth="1"/>
    <col min="5136" max="5136" width="3.875" style="48" customWidth="1"/>
    <col min="5137" max="5137" width="3.625" style="48" customWidth="1"/>
    <col min="5138" max="5138" width="5.875" style="48" customWidth="1"/>
    <col min="5139" max="5376" width="9" style="48"/>
    <col min="5377" max="5377" width="3.625" style="48" customWidth="1"/>
    <col min="5378" max="5380" width="7.625" style="48" customWidth="1"/>
    <col min="5381" max="5381" width="6.625" style="48" customWidth="1"/>
    <col min="5382" max="5382" width="6.875" style="48" customWidth="1"/>
    <col min="5383" max="5383" width="4.875" style="48" customWidth="1"/>
    <col min="5384" max="5385" width="4.125" style="48" customWidth="1"/>
    <col min="5386" max="5387" width="5.625" style="48" customWidth="1"/>
    <col min="5388" max="5391" width="3.625" style="48" customWidth="1"/>
    <col min="5392" max="5392" width="3.875" style="48" customWidth="1"/>
    <col min="5393" max="5393" width="3.625" style="48" customWidth="1"/>
    <col min="5394" max="5394" width="5.875" style="48" customWidth="1"/>
    <col min="5395" max="5632" width="9" style="48"/>
    <col min="5633" max="5633" width="3.625" style="48" customWidth="1"/>
    <col min="5634" max="5636" width="7.625" style="48" customWidth="1"/>
    <col min="5637" max="5637" width="6.625" style="48" customWidth="1"/>
    <col min="5638" max="5638" width="6.875" style="48" customWidth="1"/>
    <col min="5639" max="5639" width="4.875" style="48" customWidth="1"/>
    <col min="5640" max="5641" width="4.125" style="48" customWidth="1"/>
    <col min="5642" max="5643" width="5.625" style="48" customWidth="1"/>
    <col min="5644" max="5647" width="3.625" style="48" customWidth="1"/>
    <col min="5648" max="5648" width="3.875" style="48" customWidth="1"/>
    <col min="5649" max="5649" width="3.625" style="48" customWidth="1"/>
    <col min="5650" max="5650" width="5.875" style="48" customWidth="1"/>
    <col min="5651" max="5888" width="9" style="48"/>
    <col min="5889" max="5889" width="3.625" style="48" customWidth="1"/>
    <col min="5890" max="5892" width="7.625" style="48" customWidth="1"/>
    <col min="5893" max="5893" width="6.625" style="48" customWidth="1"/>
    <col min="5894" max="5894" width="6.875" style="48" customWidth="1"/>
    <col min="5895" max="5895" width="4.875" style="48" customWidth="1"/>
    <col min="5896" max="5897" width="4.125" style="48" customWidth="1"/>
    <col min="5898" max="5899" width="5.625" style="48" customWidth="1"/>
    <col min="5900" max="5903" width="3.625" style="48" customWidth="1"/>
    <col min="5904" max="5904" width="3.875" style="48" customWidth="1"/>
    <col min="5905" max="5905" width="3.625" style="48" customWidth="1"/>
    <col min="5906" max="5906" width="5.875" style="48" customWidth="1"/>
    <col min="5907" max="6144" width="9" style="48"/>
    <col min="6145" max="6145" width="3.625" style="48" customWidth="1"/>
    <col min="6146" max="6148" width="7.625" style="48" customWidth="1"/>
    <col min="6149" max="6149" width="6.625" style="48" customWidth="1"/>
    <col min="6150" max="6150" width="6.875" style="48" customWidth="1"/>
    <col min="6151" max="6151" width="4.875" style="48" customWidth="1"/>
    <col min="6152" max="6153" width="4.125" style="48" customWidth="1"/>
    <col min="6154" max="6155" width="5.625" style="48" customWidth="1"/>
    <col min="6156" max="6159" width="3.625" style="48" customWidth="1"/>
    <col min="6160" max="6160" width="3.875" style="48" customWidth="1"/>
    <col min="6161" max="6161" width="3.625" style="48" customWidth="1"/>
    <col min="6162" max="6162" width="5.875" style="48" customWidth="1"/>
    <col min="6163" max="6400" width="9" style="48"/>
    <col min="6401" max="6401" width="3.625" style="48" customWidth="1"/>
    <col min="6402" max="6404" width="7.625" style="48" customWidth="1"/>
    <col min="6405" max="6405" width="6.625" style="48" customWidth="1"/>
    <col min="6406" max="6406" width="6.875" style="48" customWidth="1"/>
    <col min="6407" max="6407" width="4.875" style="48" customWidth="1"/>
    <col min="6408" max="6409" width="4.125" style="48" customWidth="1"/>
    <col min="6410" max="6411" width="5.625" style="48" customWidth="1"/>
    <col min="6412" max="6415" width="3.625" style="48" customWidth="1"/>
    <col min="6416" max="6416" width="3.875" style="48" customWidth="1"/>
    <col min="6417" max="6417" width="3.625" style="48" customWidth="1"/>
    <col min="6418" max="6418" width="5.875" style="48" customWidth="1"/>
    <col min="6419" max="6656" width="9" style="48"/>
    <col min="6657" max="6657" width="3.625" style="48" customWidth="1"/>
    <col min="6658" max="6660" width="7.625" style="48" customWidth="1"/>
    <col min="6661" max="6661" width="6.625" style="48" customWidth="1"/>
    <col min="6662" max="6662" width="6.875" style="48" customWidth="1"/>
    <col min="6663" max="6663" width="4.875" style="48" customWidth="1"/>
    <col min="6664" max="6665" width="4.125" style="48" customWidth="1"/>
    <col min="6666" max="6667" width="5.625" style="48" customWidth="1"/>
    <col min="6668" max="6671" width="3.625" style="48" customWidth="1"/>
    <col min="6672" max="6672" width="3.875" style="48" customWidth="1"/>
    <col min="6673" max="6673" width="3.625" style="48" customWidth="1"/>
    <col min="6674" max="6674" width="5.875" style="48" customWidth="1"/>
    <col min="6675" max="6912" width="9" style="48"/>
    <col min="6913" max="6913" width="3.625" style="48" customWidth="1"/>
    <col min="6914" max="6916" width="7.625" style="48" customWidth="1"/>
    <col min="6917" max="6917" width="6.625" style="48" customWidth="1"/>
    <col min="6918" max="6918" width="6.875" style="48" customWidth="1"/>
    <col min="6919" max="6919" width="4.875" style="48" customWidth="1"/>
    <col min="6920" max="6921" width="4.125" style="48" customWidth="1"/>
    <col min="6922" max="6923" width="5.625" style="48" customWidth="1"/>
    <col min="6924" max="6927" width="3.625" style="48" customWidth="1"/>
    <col min="6928" max="6928" width="3.875" style="48" customWidth="1"/>
    <col min="6929" max="6929" width="3.625" style="48" customWidth="1"/>
    <col min="6930" max="6930" width="5.875" style="48" customWidth="1"/>
    <col min="6931" max="7168" width="9" style="48"/>
    <col min="7169" max="7169" width="3.625" style="48" customWidth="1"/>
    <col min="7170" max="7172" width="7.625" style="48" customWidth="1"/>
    <col min="7173" max="7173" width="6.625" style="48" customWidth="1"/>
    <col min="7174" max="7174" width="6.875" style="48" customWidth="1"/>
    <col min="7175" max="7175" width="4.875" style="48" customWidth="1"/>
    <col min="7176" max="7177" width="4.125" style="48" customWidth="1"/>
    <col min="7178" max="7179" width="5.625" style="48" customWidth="1"/>
    <col min="7180" max="7183" width="3.625" style="48" customWidth="1"/>
    <col min="7184" max="7184" width="3.875" style="48" customWidth="1"/>
    <col min="7185" max="7185" width="3.625" style="48" customWidth="1"/>
    <col min="7186" max="7186" width="5.875" style="48" customWidth="1"/>
    <col min="7187" max="7424" width="9" style="48"/>
    <col min="7425" max="7425" width="3.625" style="48" customWidth="1"/>
    <col min="7426" max="7428" width="7.625" style="48" customWidth="1"/>
    <col min="7429" max="7429" width="6.625" style="48" customWidth="1"/>
    <col min="7430" max="7430" width="6.875" style="48" customWidth="1"/>
    <col min="7431" max="7431" width="4.875" style="48" customWidth="1"/>
    <col min="7432" max="7433" width="4.125" style="48" customWidth="1"/>
    <col min="7434" max="7435" width="5.625" style="48" customWidth="1"/>
    <col min="7436" max="7439" width="3.625" style="48" customWidth="1"/>
    <col min="7440" max="7440" width="3.875" style="48" customWidth="1"/>
    <col min="7441" max="7441" width="3.625" style="48" customWidth="1"/>
    <col min="7442" max="7442" width="5.875" style="48" customWidth="1"/>
    <col min="7443" max="7680" width="9" style="48"/>
    <col min="7681" max="7681" width="3.625" style="48" customWidth="1"/>
    <col min="7682" max="7684" width="7.625" style="48" customWidth="1"/>
    <col min="7685" max="7685" width="6.625" style="48" customWidth="1"/>
    <col min="7686" max="7686" width="6.875" style="48" customWidth="1"/>
    <col min="7687" max="7687" width="4.875" style="48" customWidth="1"/>
    <col min="7688" max="7689" width="4.125" style="48" customWidth="1"/>
    <col min="7690" max="7691" width="5.625" style="48" customWidth="1"/>
    <col min="7692" max="7695" width="3.625" style="48" customWidth="1"/>
    <col min="7696" max="7696" width="3.875" style="48" customWidth="1"/>
    <col min="7697" max="7697" width="3.625" style="48" customWidth="1"/>
    <col min="7698" max="7698" width="5.875" style="48" customWidth="1"/>
    <col min="7699" max="7936" width="9" style="48"/>
    <col min="7937" max="7937" width="3.625" style="48" customWidth="1"/>
    <col min="7938" max="7940" width="7.625" style="48" customWidth="1"/>
    <col min="7941" max="7941" width="6.625" style="48" customWidth="1"/>
    <col min="7942" max="7942" width="6.875" style="48" customWidth="1"/>
    <col min="7943" max="7943" width="4.875" style="48" customWidth="1"/>
    <col min="7944" max="7945" width="4.125" style="48" customWidth="1"/>
    <col min="7946" max="7947" width="5.625" style="48" customWidth="1"/>
    <col min="7948" max="7951" width="3.625" style="48" customWidth="1"/>
    <col min="7952" max="7952" width="3.875" style="48" customWidth="1"/>
    <col min="7953" max="7953" width="3.625" style="48" customWidth="1"/>
    <col min="7954" max="7954" width="5.875" style="48" customWidth="1"/>
    <col min="7955" max="8192" width="9" style="48"/>
    <col min="8193" max="8193" width="3.625" style="48" customWidth="1"/>
    <col min="8194" max="8196" width="7.625" style="48" customWidth="1"/>
    <col min="8197" max="8197" width="6.625" style="48" customWidth="1"/>
    <col min="8198" max="8198" width="6.875" style="48" customWidth="1"/>
    <col min="8199" max="8199" width="4.875" style="48" customWidth="1"/>
    <col min="8200" max="8201" width="4.125" style="48" customWidth="1"/>
    <col min="8202" max="8203" width="5.625" style="48" customWidth="1"/>
    <col min="8204" max="8207" width="3.625" style="48" customWidth="1"/>
    <col min="8208" max="8208" width="3.875" style="48" customWidth="1"/>
    <col min="8209" max="8209" width="3.625" style="48" customWidth="1"/>
    <col min="8210" max="8210" width="5.875" style="48" customWidth="1"/>
    <col min="8211" max="8448" width="9" style="48"/>
    <col min="8449" max="8449" width="3.625" style="48" customWidth="1"/>
    <col min="8450" max="8452" width="7.625" style="48" customWidth="1"/>
    <col min="8453" max="8453" width="6.625" style="48" customWidth="1"/>
    <col min="8454" max="8454" width="6.875" style="48" customWidth="1"/>
    <col min="8455" max="8455" width="4.875" style="48" customWidth="1"/>
    <col min="8456" max="8457" width="4.125" style="48" customWidth="1"/>
    <col min="8458" max="8459" width="5.625" style="48" customWidth="1"/>
    <col min="8460" max="8463" width="3.625" style="48" customWidth="1"/>
    <col min="8464" max="8464" width="3.875" style="48" customWidth="1"/>
    <col min="8465" max="8465" width="3.625" style="48" customWidth="1"/>
    <col min="8466" max="8466" width="5.875" style="48" customWidth="1"/>
    <col min="8467" max="8704" width="9" style="48"/>
    <col min="8705" max="8705" width="3.625" style="48" customWidth="1"/>
    <col min="8706" max="8708" width="7.625" style="48" customWidth="1"/>
    <col min="8709" max="8709" width="6.625" style="48" customWidth="1"/>
    <col min="8710" max="8710" width="6.875" style="48" customWidth="1"/>
    <col min="8711" max="8711" width="4.875" style="48" customWidth="1"/>
    <col min="8712" max="8713" width="4.125" style="48" customWidth="1"/>
    <col min="8714" max="8715" width="5.625" style="48" customWidth="1"/>
    <col min="8716" max="8719" width="3.625" style="48" customWidth="1"/>
    <col min="8720" max="8720" width="3.875" style="48" customWidth="1"/>
    <col min="8721" max="8721" width="3.625" style="48" customWidth="1"/>
    <col min="8722" max="8722" width="5.875" style="48" customWidth="1"/>
    <col min="8723" max="8960" width="9" style="48"/>
    <col min="8961" max="8961" width="3.625" style="48" customWidth="1"/>
    <col min="8962" max="8964" width="7.625" style="48" customWidth="1"/>
    <col min="8965" max="8965" width="6.625" style="48" customWidth="1"/>
    <col min="8966" max="8966" width="6.875" style="48" customWidth="1"/>
    <col min="8967" max="8967" width="4.875" style="48" customWidth="1"/>
    <col min="8968" max="8969" width="4.125" style="48" customWidth="1"/>
    <col min="8970" max="8971" width="5.625" style="48" customWidth="1"/>
    <col min="8972" max="8975" width="3.625" style="48" customWidth="1"/>
    <col min="8976" max="8976" width="3.875" style="48" customWidth="1"/>
    <col min="8977" max="8977" width="3.625" style="48" customWidth="1"/>
    <col min="8978" max="8978" width="5.875" style="48" customWidth="1"/>
    <col min="8979" max="9216" width="9" style="48"/>
    <col min="9217" max="9217" width="3.625" style="48" customWidth="1"/>
    <col min="9218" max="9220" width="7.625" style="48" customWidth="1"/>
    <col min="9221" max="9221" width="6.625" style="48" customWidth="1"/>
    <col min="9222" max="9222" width="6.875" style="48" customWidth="1"/>
    <col min="9223" max="9223" width="4.875" style="48" customWidth="1"/>
    <col min="9224" max="9225" width="4.125" style="48" customWidth="1"/>
    <col min="9226" max="9227" width="5.625" style="48" customWidth="1"/>
    <col min="9228" max="9231" width="3.625" style="48" customWidth="1"/>
    <col min="9232" max="9232" width="3.875" style="48" customWidth="1"/>
    <col min="9233" max="9233" width="3.625" style="48" customWidth="1"/>
    <col min="9234" max="9234" width="5.875" style="48" customWidth="1"/>
    <col min="9235" max="9472" width="9" style="48"/>
    <col min="9473" max="9473" width="3.625" style="48" customWidth="1"/>
    <col min="9474" max="9476" width="7.625" style="48" customWidth="1"/>
    <col min="9477" max="9477" width="6.625" style="48" customWidth="1"/>
    <col min="9478" max="9478" width="6.875" style="48" customWidth="1"/>
    <col min="9479" max="9479" width="4.875" style="48" customWidth="1"/>
    <col min="9480" max="9481" width="4.125" style="48" customWidth="1"/>
    <col min="9482" max="9483" width="5.625" style="48" customWidth="1"/>
    <col min="9484" max="9487" width="3.625" style="48" customWidth="1"/>
    <col min="9488" max="9488" width="3.875" style="48" customWidth="1"/>
    <col min="9489" max="9489" width="3.625" style="48" customWidth="1"/>
    <col min="9490" max="9490" width="5.875" style="48" customWidth="1"/>
    <col min="9491" max="9728" width="9" style="48"/>
    <col min="9729" max="9729" width="3.625" style="48" customWidth="1"/>
    <col min="9730" max="9732" width="7.625" style="48" customWidth="1"/>
    <col min="9733" max="9733" width="6.625" style="48" customWidth="1"/>
    <col min="9734" max="9734" width="6.875" style="48" customWidth="1"/>
    <col min="9735" max="9735" width="4.875" style="48" customWidth="1"/>
    <col min="9736" max="9737" width="4.125" style="48" customWidth="1"/>
    <col min="9738" max="9739" width="5.625" style="48" customWidth="1"/>
    <col min="9740" max="9743" width="3.625" style="48" customWidth="1"/>
    <col min="9744" max="9744" width="3.875" style="48" customWidth="1"/>
    <col min="9745" max="9745" width="3.625" style="48" customWidth="1"/>
    <col min="9746" max="9746" width="5.875" style="48" customWidth="1"/>
    <col min="9747" max="9984" width="9" style="48"/>
    <col min="9985" max="9985" width="3.625" style="48" customWidth="1"/>
    <col min="9986" max="9988" width="7.625" style="48" customWidth="1"/>
    <col min="9989" max="9989" width="6.625" style="48" customWidth="1"/>
    <col min="9990" max="9990" width="6.875" style="48" customWidth="1"/>
    <col min="9991" max="9991" width="4.875" style="48" customWidth="1"/>
    <col min="9992" max="9993" width="4.125" style="48" customWidth="1"/>
    <col min="9994" max="9995" width="5.625" style="48" customWidth="1"/>
    <col min="9996" max="9999" width="3.625" style="48" customWidth="1"/>
    <col min="10000" max="10000" width="3.875" style="48" customWidth="1"/>
    <col min="10001" max="10001" width="3.625" style="48" customWidth="1"/>
    <col min="10002" max="10002" width="5.875" style="48" customWidth="1"/>
    <col min="10003" max="10240" width="9" style="48"/>
    <col min="10241" max="10241" width="3.625" style="48" customWidth="1"/>
    <col min="10242" max="10244" width="7.625" style="48" customWidth="1"/>
    <col min="10245" max="10245" width="6.625" style="48" customWidth="1"/>
    <col min="10246" max="10246" width="6.875" style="48" customWidth="1"/>
    <col min="10247" max="10247" width="4.875" style="48" customWidth="1"/>
    <col min="10248" max="10249" width="4.125" style="48" customWidth="1"/>
    <col min="10250" max="10251" width="5.625" style="48" customWidth="1"/>
    <col min="10252" max="10255" width="3.625" style="48" customWidth="1"/>
    <col min="10256" max="10256" width="3.875" style="48" customWidth="1"/>
    <col min="10257" max="10257" width="3.625" style="48" customWidth="1"/>
    <col min="10258" max="10258" width="5.875" style="48" customWidth="1"/>
    <col min="10259" max="10496" width="9" style="48"/>
    <col min="10497" max="10497" width="3.625" style="48" customWidth="1"/>
    <col min="10498" max="10500" width="7.625" style="48" customWidth="1"/>
    <col min="10501" max="10501" width="6.625" style="48" customWidth="1"/>
    <col min="10502" max="10502" width="6.875" style="48" customWidth="1"/>
    <col min="10503" max="10503" width="4.875" style="48" customWidth="1"/>
    <col min="10504" max="10505" width="4.125" style="48" customWidth="1"/>
    <col min="10506" max="10507" width="5.625" style="48" customWidth="1"/>
    <col min="10508" max="10511" width="3.625" style="48" customWidth="1"/>
    <col min="10512" max="10512" width="3.875" style="48" customWidth="1"/>
    <col min="10513" max="10513" width="3.625" style="48" customWidth="1"/>
    <col min="10514" max="10514" width="5.875" style="48" customWidth="1"/>
    <col min="10515" max="10752" width="9" style="48"/>
    <col min="10753" max="10753" width="3.625" style="48" customWidth="1"/>
    <col min="10754" max="10756" width="7.625" style="48" customWidth="1"/>
    <col min="10757" max="10757" width="6.625" style="48" customWidth="1"/>
    <col min="10758" max="10758" width="6.875" style="48" customWidth="1"/>
    <col min="10759" max="10759" width="4.875" style="48" customWidth="1"/>
    <col min="10760" max="10761" width="4.125" style="48" customWidth="1"/>
    <col min="10762" max="10763" width="5.625" style="48" customWidth="1"/>
    <col min="10764" max="10767" width="3.625" style="48" customWidth="1"/>
    <col min="10768" max="10768" width="3.875" style="48" customWidth="1"/>
    <col min="10769" max="10769" width="3.625" style="48" customWidth="1"/>
    <col min="10770" max="10770" width="5.875" style="48" customWidth="1"/>
    <col min="10771" max="11008" width="9" style="48"/>
    <col min="11009" max="11009" width="3.625" style="48" customWidth="1"/>
    <col min="11010" max="11012" width="7.625" style="48" customWidth="1"/>
    <col min="11013" max="11013" width="6.625" style="48" customWidth="1"/>
    <col min="11014" max="11014" width="6.875" style="48" customWidth="1"/>
    <col min="11015" max="11015" width="4.875" style="48" customWidth="1"/>
    <col min="11016" max="11017" width="4.125" style="48" customWidth="1"/>
    <col min="11018" max="11019" width="5.625" style="48" customWidth="1"/>
    <col min="11020" max="11023" width="3.625" style="48" customWidth="1"/>
    <col min="11024" max="11024" width="3.875" style="48" customWidth="1"/>
    <col min="11025" max="11025" width="3.625" style="48" customWidth="1"/>
    <col min="11026" max="11026" width="5.875" style="48" customWidth="1"/>
    <col min="11027" max="11264" width="9" style="48"/>
    <col min="11265" max="11265" width="3.625" style="48" customWidth="1"/>
    <col min="11266" max="11268" width="7.625" style="48" customWidth="1"/>
    <col min="11269" max="11269" width="6.625" style="48" customWidth="1"/>
    <col min="11270" max="11270" width="6.875" style="48" customWidth="1"/>
    <col min="11271" max="11271" width="4.875" style="48" customWidth="1"/>
    <col min="11272" max="11273" width="4.125" style="48" customWidth="1"/>
    <col min="11274" max="11275" width="5.625" style="48" customWidth="1"/>
    <col min="11276" max="11279" width="3.625" style="48" customWidth="1"/>
    <col min="11280" max="11280" width="3.875" style="48" customWidth="1"/>
    <col min="11281" max="11281" width="3.625" style="48" customWidth="1"/>
    <col min="11282" max="11282" width="5.875" style="48" customWidth="1"/>
    <col min="11283" max="11520" width="9" style="48"/>
    <col min="11521" max="11521" width="3.625" style="48" customWidth="1"/>
    <col min="11522" max="11524" width="7.625" style="48" customWidth="1"/>
    <col min="11525" max="11525" width="6.625" style="48" customWidth="1"/>
    <col min="11526" max="11526" width="6.875" style="48" customWidth="1"/>
    <col min="11527" max="11527" width="4.875" style="48" customWidth="1"/>
    <col min="11528" max="11529" width="4.125" style="48" customWidth="1"/>
    <col min="11530" max="11531" width="5.625" style="48" customWidth="1"/>
    <col min="11532" max="11535" width="3.625" style="48" customWidth="1"/>
    <col min="11536" max="11536" width="3.875" style="48" customWidth="1"/>
    <col min="11537" max="11537" width="3.625" style="48" customWidth="1"/>
    <col min="11538" max="11538" width="5.875" style="48" customWidth="1"/>
    <col min="11539" max="11776" width="9" style="48"/>
    <col min="11777" max="11777" width="3.625" style="48" customWidth="1"/>
    <col min="11778" max="11780" width="7.625" style="48" customWidth="1"/>
    <col min="11781" max="11781" width="6.625" style="48" customWidth="1"/>
    <col min="11782" max="11782" width="6.875" style="48" customWidth="1"/>
    <col min="11783" max="11783" width="4.875" style="48" customWidth="1"/>
    <col min="11784" max="11785" width="4.125" style="48" customWidth="1"/>
    <col min="11786" max="11787" width="5.625" style="48" customWidth="1"/>
    <col min="11788" max="11791" width="3.625" style="48" customWidth="1"/>
    <col min="11792" max="11792" width="3.875" style="48" customWidth="1"/>
    <col min="11793" max="11793" width="3.625" style="48" customWidth="1"/>
    <col min="11794" max="11794" width="5.875" style="48" customWidth="1"/>
    <col min="11795" max="12032" width="9" style="48"/>
    <col min="12033" max="12033" width="3.625" style="48" customWidth="1"/>
    <col min="12034" max="12036" width="7.625" style="48" customWidth="1"/>
    <col min="12037" max="12037" width="6.625" style="48" customWidth="1"/>
    <col min="12038" max="12038" width="6.875" style="48" customWidth="1"/>
    <col min="12039" max="12039" width="4.875" style="48" customWidth="1"/>
    <col min="12040" max="12041" width="4.125" style="48" customWidth="1"/>
    <col min="12042" max="12043" width="5.625" style="48" customWidth="1"/>
    <col min="12044" max="12047" width="3.625" style="48" customWidth="1"/>
    <col min="12048" max="12048" width="3.875" style="48" customWidth="1"/>
    <col min="12049" max="12049" width="3.625" style="48" customWidth="1"/>
    <col min="12050" max="12050" width="5.875" style="48" customWidth="1"/>
    <col min="12051" max="12288" width="9" style="48"/>
    <col min="12289" max="12289" width="3.625" style="48" customWidth="1"/>
    <col min="12290" max="12292" width="7.625" style="48" customWidth="1"/>
    <col min="12293" max="12293" width="6.625" style="48" customWidth="1"/>
    <col min="12294" max="12294" width="6.875" style="48" customWidth="1"/>
    <col min="12295" max="12295" width="4.875" style="48" customWidth="1"/>
    <col min="12296" max="12297" width="4.125" style="48" customWidth="1"/>
    <col min="12298" max="12299" width="5.625" style="48" customWidth="1"/>
    <col min="12300" max="12303" width="3.625" style="48" customWidth="1"/>
    <col min="12304" max="12304" width="3.875" style="48" customWidth="1"/>
    <col min="12305" max="12305" width="3.625" style="48" customWidth="1"/>
    <col min="12306" max="12306" width="5.875" style="48" customWidth="1"/>
    <col min="12307" max="12544" width="9" style="48"/>
    <col min="12545" max="12545" width="3.625" style="48" customWidth="1"/>
    <col min="12546" max="12548" width="7.625" style="48" customWidth="1"/>
    <col min="12549" max="12549" width="6.625" style="48" customWidth="1"/>
    <col min="12550" max="12550" width="6.875" style="48" customWidth="1"/>
    <col min="12551" max="12551" width="4.875" style="48" customWidth="1"/>
    <col min="12552" max="12553" width="4.125" style="48" customWidth="1"/>
    <col min="12554" max="12555" width="5.625" style="48" customWidth="1"/>
    <col min="12556" max="12559" width="3.625" style="48" customWidth="1"/>
    <col min="12560" max="12560" width="3.875" style="48" customWidth="1"/>
    <col min="12561" max="12561" width="3.625" style="48" customWidth="1"/>
    <col min="12562" max="12562" width="5.875" style="48" customWidth="1"/>
    <col min="12563" max="12800" width="9" style="48"/>
    <col min="12801" max="12801" width="3.625" style="48" customWidth="1"/>
    <col min="12802" max="12804" width="7.625" style="48" customWidth="1"/>
    <col min="12805" max="12805" width="6.625" style="48" customWidth="1"/>
    <col min="12806" max="12806" width="6.875" style="48" customWidth="1"/>
    <col min="12807" max="12807" width="4.875" style="48" customWidth="1"/>
    <col min="12808" max="12809" width="4.125" style="48" customWidth="1"/>
    <col min="12810" max="12811" width="5.625" style="48" customWidth="1"/>
    <col min="12812" max="12815" width="3.625" style="48" customWidth="1"/>
    <col min="12816" max="12816" width="3.875" style="48" customWidth="1"/>
    <col min="12817" max="12817" width="3.625" style="48" customWidth="1"/>
    <col min="12818" max="12818" width="5.875" style="48" customWidth="1"/>
    <col min="12819" max="13056" width="9" style="48"/>
    <col min="13057" max="13057" width="3.625" style="48" customWidth="1"/>
    <col min="13058" max="13060" width="7.625" style="48" customWidth="1"/>
    <col min="13061" max="13061" width="6.625" style="48" customWidth="1"/>
    <col min="13062" max="13062" width="6.875" style="48" customWidth="1"/>
    <col min="13063" max="13063" width="4.875" style="48" customWidth="1"/>
    <col min="13064" max="13065" width="4.125" style="48" customWidth="1"/>
    <col min="13066" max="13067" width="5.625" style="48" customWidth="1"/>
    <col min="13068" max="13071" width="3.625" style="48" customWidth="1"/>
    <col min="13072" max="13072" width="3.875" style="48" customWidth="1"/>
    <col min="13073" max="13073" width="3.625" style="48" customWidth="1"/>
    <col min="13074" max="13074" width="5.875" style="48" customWidth="1"/>
    <col min="13075" max="13312" width="9" style="48"/>
    <col min="13313" max="13313" width="3.625" style="48" customWidth="1"/>
    <col min="13314" max="13316" width="7.625" style="48" customWidth="1"/>
    <col min="13317" max="13317" width="6.625" style="48" customWidth="1"/>
    <col min="13318" max="13318" width="6.875" style="48" customWidth="1"/>
    <col min="13319" max="13319" width="4.875" style="48" customWidth="1"/>
    <col min="13320" max="13321" width="4.125" style="48" customWidth="1"/>
    <col min="13322" max="13323" width="5.625" style="48" customWidth="1"/>
    <col min="13324" max="13327" width="3.625" style="48" customWidth="1"/>
    <col min="13328" max="13328" width="3.875" style="48" customWidth="1"/>
    <col min="13329" max="13329" width="3.625" style="48" customWidth="1"/>
    <col min="13330" max="13330" width="5.875" style="48" customWidth="1"/>
    <col min="13331" max="13568" width="9" style="48"/>
    <col min="13569" max="13569" width="3.625" style="48" customWidth="1"/>
    <col min="13570" max="13572" width="7.625" style="48" customWidth="1"/>
    <col min="13573" max="13573" width="6.625" style="48" customWidth="1"/>
    <col min="13574" max="13574" width="6.875" style="48" customWidth="1"/>
    <col min="13575" max="13575" width="4.875" style="48" customWidth="1"/>
    <col min="13576" max="13577" width="4.125" style="48" customWidth="1"/>
    <col min="13578" max="13579" width="5.625" style="48" customWidth="1"/>
    <col min="13580" max="13583" width="3.625" style="48" customWidth="1"/>
    <col min="13584" max="13584" width="3.875" style="48" customWidth="1"/>
    <col min="13585" max="13585" width="3.625" style="48" customWidth="1"/>
    <col min="13586" max="13586" width="5.875" style="48" customWidth="1"/>
    <col min="13587" max="13824" width="9" style="48"/>
    <col min="13825" max="13825" width="3.625" style="48" customWidth="1"/>
    <col min="13826" max="13828" width="7.625" style="48" customWidth="1"/>
    <col min="13829" max="13829" width="6.625" style="48" customWidth="1"/>
    <col min="13830" max="13830" width="6.875" style="48" customWidth="1"/>
    <col min="13831" max="13831" width="4.875" style="48" customWidth="1"/>
    <col min="13832" max="13833" width="4.125" style="48" customWidth="1"/>
    <col min="13834" max="13835" width="5.625" style="48" customWidth="1"/>
    <col min="13836" max="13839" width="3.625" style="48" customWidth="1"/>
    <col min="13840" max="13840" width="3.875" style="48" customWidth="1"/>
    <col min="13841" max="13841" width="3.625" style="48" customWidth="1"/>
    <col min="13842" max="13842" width="5.875" style="48" customWidth="1"/>
    <col min="13843" max="14080" width="9" style="48"/>
    <col min="14081" max="14081" width="3.625" style="48" customWidth="1"/>
    <col min="14082" max="14084" width="7.625" style="48" customWidth="1"/>
    <col min="14085" max="14085" width="6.625" style="48" customWidth="1"/>
    <col min="14086" max="14086" width="6.875" style="48" customWidth="1"/>
    <col min="14087" max="14087" width="4.875" style="48" customWidth="1"/>
    <col min="14088" max="14089" width="4.125" style="48" customWidth="1"/>
    <col min="14090" max="14091" width="5.625" style="48" customWidth="1"/>
    <col min="14092" max="14095" width="3.625" style="48" customWidth="1"/>
    <col min="14096" max="14096" width="3.875" style="48" customWidth="1"/>
    <col min="14097" max="14097" width="3.625" style="48" customWidth="1"/>
    <col min="14098" max="14098" width="5.875" style="48" customWidth="1"/>
    <col min="14099" max="14336" width="9" style="48"/>
    <col min="14337" max="14337" width="3.625" style="48" customWidth="1"/>
    <col min="14338" max="14340" width="7.625" style="48" customWidth="1"/>
    <col min="14341" max="14341" width="6.625" style="48" customWidth="1"/>
    <col min="14342" max="14342" width="6.875" style="48" customWidth="1"/>
    <col min="14343" max="14343" width="4.875" style="48" customWidth="1"/>
    <col min="14344" max="14345" width="4.125" style="48" customWidth="1"/>
    <col min="14346" max="14347" width="5.625" style="48" customWidth="1"/>
    <col min="14348" max="14351" width="3.625" style="48" customWidth="1"/>
    <col min="14352" max="14352" width="3.875" style="48" customWidth="1"/>
    <col min="14353" max="14353" width="3.625" style="48" customWidth="1"/>
    <col min="14354" max="14354" width="5.875" style="48" customWidth="1"/>
    <col min="14355" max="14592" width="9" style="48"/>
    <col min="14593" max="14593" width="3.625" style="48" customWidth="1"/>
    <col min="14594" max="14596" width="7.625" style="48" customWidth="1"/>
    <col min="14597" max="14597" width="6.625" style="48" customWidth="1"/>
    <col min="14598" max="14598" width="6.875" style="48" customWidth="1"/>
    <col min="14599" max="14599" width="4.875" style="48" customWidth="1"/>
    <col min="14600" max="14601" width="4.125" style="48" customWidth="1"/>
    <col min="14602" max="14603" width="5.625" style="48" customWidth="1"/>
    <col min="14604" max="14607" width="3.625" style="48" customWidth="1"/>
    <col min="14608" max="14608" width="3.875" style="48" customWidth="1"/>
    <col min="14609" max="14609" width="3.625" style="48" customWidth="1"/>
    <col min="14610" max="14610" width="5.875" style="48" customWidth="1"/>
    <col min="14611" max="14848" width="9" style="48"/>
    <col min="14849" max="14849" width="3.625" style="48" customWidth="1"/>
    <col min="14850" max="14852" width="7.625" style="48" customWidth="1"/>
    <col min="14853" max="14853" width="6.625" style="48" customWidth="1"/>
    <col min="14854" max="14854" width="6.875" style="48" customWidth="1"/>
    <col min="14855" max="14855" width="4.875" style="48" customWidth="1"/>
    <col min="14856" max="14857" width="4.125" style="48" customWidth="1"/>
    <col min="14858" max="14859" width="5.625" style="48" customWidth="1"/>
    <col min="14860" max="14863" width="3.625" style="48" customWidth="1"/>
    <col min="14864" max="14864" width="3.875" style="48" customWidth="1"/>
    <col min="14865" max="14865" width="3.625" style="48" customWidth="1"/>
    <col min="14866" max="14866" width="5.875" style="48" customWidth="1"/>
    <col min="14867" max="15104" width="9" style="48"/>
    <col min="15105" max="15105" width="3.625" style="48" customWidth="1"/>
    <col min="15106" max="15108" width="7.625" style="48" customWidth="1"/>
    <col min="15109" max="15109" width="6.625" style="48" customWidth="1"/>
    <col min="15110" max="15110" width="6.875" style="48" customWidth="1"/>
    <col min="15111" max="15111" width="4.875" style="48" customWidth="1"/>
    <col min="15112" max="15113" width="4.125" style="48" customWidth="1"/>
    <col min="15114" max="15115" width="5.625" style="48" customWidth="1"/>
    <col min="15116" max="15119" width="3.625" style="48" customWidth="1"/>
    <col min="15120" max="15120" width="3.875" style="48" customWidth="1"/>
    <col min="15121" max="15121" width="3.625" style="48" customWidth="1"/>
    <col min="15122" max="15122" width="5.875" style="48" customWidth="1"/>
    <col min="15123" max="15360" width="9" style="48"/>
    <col min="15361" max="15361" width="3.625" style="48" customWidth="1"/>
    <col min="15362" max="15364" width="7.625" style="48" customWidth="1"/>
    <col min="15365" max="15365" width="6.625" style="48" customWidth="1"/>
    <col min="15366" max="15366" width="6.875" style="48" customWidth="1"/>
    <col min="15367" max="15367" width="4.875" style="48" customWidth="1"/>
    <col min="15368" max="15369" width="4.125" style="48" customWidth="1"/>
    <col min="15370" max="15371" width="5.625" style="48" customWidth="1"/>
    <col min="15372" max="15375" width="3.625" style="48" customWidth="1"/>
    <col min="15376" max="15376" width="3.875" style="48" customWidth="1"/>
    <col min="15377" max="15377" width="3.625" style="48" customWidth="1"/>
    <col min="15378" max="15378" width="5.875" style="48" customWidth="1"/>
    <col min="15379" max="15616" width="9" style="48"/>
    <col min="15617" max="15617" width="3.625" style="48" customWidth="1"/>
    <col min="15618" max="15620" width="7.625" style="48" customWidth="1"/>
    <col min="15621" max="15621" width="6.625" style="48" customWidth="1"/>
    <col min="15622" max="15622" width="6.875" style="48" customWidth="1"/>
    <col min="15623" max="15623" width="4.875" style="48" customWidth="1"/>
    <col min="15624" max="15625" width="4.125" style="48" customWidth="1"/>
    <col min="15626" max="15627" width="5.625" style="48" customWidth="1"/>
    <col min="15628" max="15631" width="3.625" style="48" customWidth="1"/>
    <col min="15632" max="15632" width="3.875" style="48" customWidth="1"/>
    <col min="15633" max="15633" width="3.625" style="48" customWidth="1"/>
    <col min="15634" max="15634" width="5.875" style="48" customWidth="1"/>
    <col min="15635" max="15872" width="9" style="48"/>
    <col min="15873" max="15873" width="3.625" style="48" customWidth="1"/>
    <col min="15874" max="15876" width="7.625" style="48" customWidth="1"/>
    <col min="15877" max="15877" width="6.625" style="48" customWidth="1"/>
    <col min="15878" max="15878" width="6.875" style="48" customWidth="1"/>
    <col min="15879" max="15879" width="4.875" style="48" customWidth="1"/>
    <col min="15880" max="15881" width="4.125" style="48" customWidth="1"/>
    <col min="15882" max="15883" width="5.625" style="48" customWidth="1"/>
    <col min="15884" max="15887" width="3.625" style="48" customWidth="1"/>
    <col min="15888" max="15888" width="3.875" style="48" customWidth="1"/>
    <col min="15889" max="15889" width="3.625" style="48" customWidth="1"/>
    <col min="15890" max="15890" width="5.875" style="48" customWidth="1"/>
    <col min="15891" max="16128" width="9" style="48"/>
    <col min="16129" max="16129" width="3.625" style="48" customWidth="1"/>
    <col min="16130" max="16132" width="7.625" style="48" customWidth="1"/>
    <col min="16133" max="16133" width="6.625" style="48" customWidth="1"/>
    <col min="16134" max="16134" width="6.875" style="48" customWidth="1"/>
    <col min="16135" max="16135" width="4.875" style="48" customWidth="1"/>
    <col min="16136" max="16137" width="4.125" style="48" customWidth="1"/>
    <col min="16138" max="16139" width="5.625" style="48" customWidth="1"/>
    <col min="16140" max="16143" width="3.625" style="48" customWidth="1"/>
    <col min="16144" max="16144" width="3.875" style="48" customWidth="1"/>
    <col min="16145" max="16145" width="3.625" style="48" customWidth="1"/>
    <col min="16146" max="16146" width="5.875" style="48" customWidth="1"/>
    <col min="16147" max="16384" width="9" style="48"/>
  </cols>
  <sheetData>
    <row r="1" spans="1:75" ht="30" customHeight="1">
      <c r="A1" s="47" t="s">
        <v>55</v>
      </c>
      <c r="B1" s="48"/>
      <c r="C1" s="89"/>
      <c r="D1" s="89"/>
      <c r="E1" s="89"/>
      <c r="F1" s="89"/>
      <c r="G1" s="89"/>
      <c r="H1" s="89"/>
      <c r="I1" s="89"/>
      <c r="J1" s="89"/>
      <c r="K1" s="89"/>
      <c r="L1" s="90"/>
      <c r="M1" s="89"/>
      <c r="N1" s="89"/>
      <c r="O1" s="89"/>
      <c r="P1" s="89"/>
      <c r="Q1" s="89"/>
      <c r="R1" s="89"/>
    </row>
    <row r="2" spans="1:75" s="51" customFormat="1" ht="18" customHeight="1">
      <c r="B2" s="91" t="s">
        <v>56</v>
      </c>
      <c r="C2" s="92"/>
      <c r="D2" s="92"/>
      <c r="E2" s="92"/>
      <c r="F2" s="92"/>
      <c r="G2" s="92"/>
      <c r="H2" s="92"/>
      <c r="I2" s="92"/>
      <c r="J2" s="92"/>
      <c r="K2" s="92"/>
      <c r="L2" s="93"/>
      <c r="M2" s="92"/>
      <c r="N2" s="92"/>
      <c r="O2" s="92"/>
      <c r="P2" s="92"/>
      <c r="Q2" s="92"/>
      <c r="R2" s="92"/>
    </row>
    <row r="3" spans="1:75" ht="13.5" customHeight="1">
      <c r="B3" s="624" t="s">
        <v>57</v>
      </c>
      <c r="C3" s="627" t="s">
        <v>58</v>
      </c>
      <c r="D3" s="628"/>
      <c r="E3" s="633" t="s">
        <v>59</v>
      </c>
      <c r="F3" s="624" t="s">
        <v>60</v>
      </c>
      <c r="G3" s="636" t="s">
        <v>61</v>
      </c>
      <c r="H3" s="610" t="s">
        <v>62</v>
      </c>
      <c r="I3" s="608" t="s">
        <v>63</v>
      </c>
      <c r="J3" s="609" t="s">
        <v>64</v>
      </c>
      <c r="K3" s="609"/>
      <c r="L3" s="609" t="s">
        <v>65</v>
      </c>
      <c r="M3" s="609"/>
      <c r="N3" s="609"/>
      <c r="O3" s="609" t="s">
        <v>66</v>
      </c>
      <c r="P3" s="609"/>
      <c r="Q3" s="609"/>
      <c r="R3" s="617" t="s">
        <v>67</v>
      </c>
      <c r="S3" s="94"/>
    </row>
    <row r="4" spans="1:75" ht="11.25" customHeight="1">
      <c r="B4" s="625"/>
      <c r="C4" s="629"/>
      <c r="D4" s="630"/>
      <c r="E4" s="634"/>
      <c r="F4" s="625"/>
      <c r="G4" s="637"/>
      <c r="H4" s="611"/>
      <c r="I4" s="608"/>
      <c r="J4" s="95" t="s">
        <v>68</v>
      </c>
      <c r="K4" s="95" t="s">
        <v>69</v>
      </c>
      <c r="L4" s="618" t="s">
        <v>70</v>
      </c>
      <c r="M4" s="618" t="s">
        <v>71</v>
      </c>
      <c r="N4" s="617" t="s">
        <v>72</v>
      </c>
      <c r="O4" s="620" t="s">
        <v>73</v>
      </c>
      <c r="P4" s="621"/>
      <c r="Q4" s="618" t="s">
        <v>74</v>
      </c>
      <c r="R4" s="617"/>
      <c r="S4" s="94"/>
    </row>
    <row r="5" spans="1:75">
      <c r="B5" s="626"/>
      <c r="C5" s="631"/>
      <c r="D5" s="632"/>
      <c r="E5" s="635"/>
      <c r="F5" s="626"/>
      <c r="G5" s="638"/>
      <c r="H5" s="612"/>
      <c r="I5" s="608"/>
      <c r="J5" s="96" t="s">
        <v>75</v>
      </c>
      <c r="K5" s="97" t="s">
        <v>76</v>
      </c>
      <c r="L5" s="619"/>
      <c r="M5" s="619"/>
      <c r="N5" s="617"/>
      <c r="O5" s="622"/>
      <c r="P5" s="623"/>
      <c r="Q5" s="619"/>
      <c r="R5" s="617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</row>
    <row r="6" spans="1:75" ht="13.5" customHeight="1">
      <c r="B6" s="98"/>
      <c r="C6" s="99"/>
      <c r="D6" s="100"/>
      <c r="E6" s="98"/>
      <c r="F6" s="100"/>
      <c r="G6" s="101" t="s">
        <v>77</v>
      </c>
      <c r="H6" s="102" t="s">
        <v>78</v>
      </c>
      <c r="I6" s="103"/>
      <c r="J6" s="104" t="s">
        <v>79</v>
      </c>
      <c r="K6" s="104" t="s">
        <v>79</v>
      </c>
      <c r="L6" s="105"/>
      <c r="M6" s="106"/>
      <c r="N6" s="107"/>
      <c r="O6" s="108"/>
      <c r="P6" s="109"/>
      <c r="Q6" s="110" t="s">
        <v>80</v>
      </c>
      <c r="R6" s="107"/>
    </row>
    <row r="7" spans="1:75" ht="17.25" customHeight="1">
      <c r="B7" s="111" t="s">
        <v>81</v>
      </c>
      <c r="C7" s="613" t="s">
        <v>82</v>
      </c>
      <c r="D7" s="614"/>
      <c r="E7" s="111" t="s">
        <v>83</v>
      </c>
      <c r="F7" s="112" t="s">
        <v>84</v>
      </c>
      <c r="G7" s="113">
        <v>63</v>
      </c>
      <c r="H7" s="114" t="s">
        <v>85</v>
      </c>
      <c r="I7" s="115" t="s">
        <v>86</v>
      </c>
      <c r="J7" s="116" t="s">
        <v>87</v>
      </c>
      <c r="K7" s="116" t="s">
        <v>88</v>
      </c>
      <c r="L7" s="117" t="s">
        <v>89</v>
      </c>
      <c r="M7" s="118" t="s">
        <v>90</v>
      </c>
      <c r="N7" s="119" t="s">
        <v>90</v>
      </c>
      <c r="O7" s="90" t="s">
        <v>91</v>
      </c>
      <c r="P7" s="120"/>
      <c r="Q7" s="121" t="s">
        <v>32</v>
      </c>
      <c r="R7" s="119" t="s">
        <v>92</v>
      </c>
    </row>
    <row r="8" spans="1:75" ht="15" customHeight="1">
      <c r="B8" s="111" t="s">
        <v>93</v>
      </c>
      <c r="C8" s="122" t="s">
        <v>94</v>
      </c>
      <c r="D8" s="123" t="s">
        <v>95</v>
      </c>
      <c r="E8" s="111" t="s">
        <v>96</v>
      </c>
      <c r="F8" s="124" t="s">
        <v>97</v>
      </c>
      <c r="G8" s="113"/>
      <c r="H8" s="114"/>
      <c r="I8" s="115"/>
      <c r="J8" s="116"/>
      <c r="K8" s="116"/>
      <c r="L8" s="117" t="s">
        <v>98</v>
      </c>
      <c r="M8" s="118"/>
      <c r="N8" s="119"/>
      <c r="O8" s="125"/>
      <c r="P8" s="120"/>
      <c r="Q8" s="121"/>
      <c r="R8" s="119"/>
    </row>
    <row r="9" spans="1:75" ht="15" customHeight="1">
      <c r="B9" s="111"/>
      <c r="C9" s="122"/>
      <c r="D9" s="112"/>
      <c r="E9" s="111"/>
      <c r="F9" s="112"/>
      <c r="G9" s="113"/>
      <c r="H9" s="114"/>
      <c r="I9" s="115"/>
      <c r="J9" s="116"/>
      <c r="K9" s="116"/>
      <c r="L9" s="118"/>
      <c r="M9" s="118"/>
      <c r="N9" s="119"/>
      <c r="O9" s="125"/>
      <c r="P9" s="120"/>
      <c r="Q9" s="121"/>
      <c r="R9" s="119"/>
    </row>
    <row r="10" spans="1:75" ht="15" customHeight="1">
      <c r="B10" s="111" t="s">
        <v>99</v>
      </c>
      <c r="C10" s="613" t="s">
        <v>82</v>
      </c>
      <c r="D10" s="614"/>
      <c r="E10" s="111" t="s">
        <v>100</v>
      </c>
      <c r="F10" s="112" t="s">
        <v>101</v>
      </c>
      <c r="G10" s="113">
        <v>110</v>
      </c>
      <c r="H10" s="114" t="s">
        <v>102</v>
      </c>
      <c r="I10" s="115" t="s">
        <v>86</v>
      </c>
      <c r="J10" s="116" t="s">
        <v>103</v>
      </c>
      <c r="K10" s="116" t="s">
        <v>104</v>
      </c>
      <c r="L10" s="117" t="s">
        <v>89</v>
      </c>
      <c r="M10" s="118" t="s">
        <v>90</v>
      </c>
      <c r="N10" s="119" t="s">
        <v>90</v>
      </c>
      <c r="O10" s="90" t="s">
        <v>105</v>
      </c>
      <c r="P10" s="120"/>
      <c r="Q10" s="121" t="s">
        <v>32</v>
      </c>
      <c r="R10" s="119" t="s">
        <v>106</v>
      </c>
    </row>
    <row r="11" spans="1:75" ht="15" customHeight="1">
      <c r="B11" s="111" t="s">
        <v>93</v>
      </c>
      <c r="C11" s="122" t="s">
        <v>107</v>
      </c>
      <c r="D11" s="123" t="s">
        <v>108</v>
      </c>
      <c r="E11" s="111" t="s">
        <v>96</v>
      </c>
      <c r="F11" s="124" t="s">
        <v>109</v>
      </c>
      <c r="G11" s="113"/>
      <c r="H11" s="114"/>
      <c r="I11" s="115"/>
      <c r="J11" s="116"/>
      <c r="K11" s="116"/>
      <c r="L11" s="117" t="s">
        <v>98</v>
      </c>
      <c r="M11" s="118"/>
      <c r="N11" s="119"/>
      <c r="O11" s="125"/>
      <c r="P11" s="120"/>
      <c r="Q11" s="121"/>
      <c r="R11" s="119"/>
    </row>
    <row r="12" spans="1:75" ht="15" customHeight="1">
      <c r="B12" s="111"/>
      <c r="C12" s="122"/>
      <c r="D12" s="112"/>
      <c r="E12" s="111"/>
      <c r="F12" s="112"/>
      <c r="G12" s="113"/>
      <c r="H12" s="114"/>
      <c r="I12" s="115"/>
      <c r="J12" s="116"/>
      <c r="K12" s="116"/>
      <c r="L12" s="118"/>
      <c r="M12" s="118"/>
      <c r="N12" s="119"/>
      <c r="O12" s="125"/>
      <c r="P12" s="120"/>
      <c r="Q12" s="121"/>
      <c r="R12" s="119"/>
    </row>
    <row r="13" spans="1:75" ht="15" customHeight="1">
      <c r="B13" s="111" t="s">
        <v>110</v>
      </c>
      <c r="C13" s="613" t="s">
        <v>111</v>
      </c>
      <c r="D13" s="614"/>
      <c r="E13" s="111" t="s">
        <v>100</v>
      </c>
      <c r="F13" s="112" t="s">
        <v>112</v>
      </c>
      <c r="G13" s="113" t="s">
        <v>113</v>
      </c>
      <c r="H13" s="114" t="s">
        <v>114</v>
      </c>
      <c r="I13" s="115" t="s">
        <v>86</v>
      </c>
      <c r="J13" s="116" t="s">
        <v>115</v>
      </c>
      <c r="K13" s="116" t="s">
        <v>116</v>
      </c>
      <c r="L13" s="117" t="s">
        <v>117</v>
      </c>
      <c r="M13" s="118" t="s">
        <v>118</v>
      </c>
      <c r="N13" s="119" t="s">
        <v>118</v>
      </c>
      <c r="O13" s="90" t="s">
        <v>119</v>
      </c>
      <c r="P13" s="120"/>
      <c r="Q13" s="121" t="s">
        <v>120</v>
      </c>
      <c r="R13" s="119" t="s">
        <v>121</v>
      </c>
    </row>
    <row r="14" spans="1:75" ht="15" customHeight="1">
      <c r="B14" s="111" t="s">
        <v>93</v>
      </c>
      <c r="C14" s="122" t="s">
        <v>122</v>
      </c>
      <c r="D14" s="123" t="s">
        <v>123</v>
      </c>
      <c r="E14" s="111" t="s">
        <v>96</v>
      </c>
      <c r="F14" s="124" t="s">
        <v>124</v>
      </c>
      <c r="G14" s="113" t="s">
        <v>125</v>
      </c>
      <c r="H14" s="114" t="s">
        <v>126</v>
      </c>
      <c r="I14" s="115"/>
      <c r="J14" s="116"/>
      <c r="K14" s="116"/>
      <c r="L14" s="117" t="s">
        <v>127</v>
      </c>
      <c r="M14" s="118"/>
      <c r="N14" s="119"/>
      <c r="O14" s="125"/>
      <c r="P14" s="120"/>
      <c r="Q14" s="121"/>
      <c r="R14" s="119"/>
    </row>
    <row r="15" spans="1:75" ht="15" customHeight="1">
      <c r="B15" s="111"/>
      <c r="C15" s="122"/>
      <c r="D15" s="112"/>
      <c r="E15" s="111"/>
      <c r="F15" s="112"/>
      <c r="G15" s="113"/>
      <c r="H15" s="114"/>
      <c r="I15" s="115"/>
      <c r="J15" s="116"/>
      <c r="K15" s="116"/>
      <c r="L15" s="118"/>
      <c r="M15" s="118"/>
      <c r="N15" s="119"/>
      <c r="O15" s="125"/>
      <c r="P15" s="120"/>
      <c r="Q15" s="121"/>
      <c r="R15" s="119"/>
    </row>
    <row r="16" spans="1:75" ht="15" customHeight="1">
      <c r="B16" s="111" t="s">
        <v>128</v>
      </c>
      <c r="C16" s="613" t="s">
        <v>111</v>
      </c>
      <c r="D16" s="614"/>
      <c r="E16" s="111" t="s">
        <v>100</v>
      </c>
      <c r="F16" s="112" t="s">
        <v>129</v>
      </c>
      <c r="G16" s="113">
        <v>120000</v>
      </c>
      <c r="H16" s="114" t="s">
        <v>118</v>
      </c>
      <c r="I16" s="115" t="s">
        <v>32</v>
      </c>
      <c r="J16" s="126" t="s">
        <v>32</v>
      </c>
      <c r="K16" s="116" t="s">
        <v>130</v>
      </c>
      <c r="L16" s="119" t="s">
        <v>131</v>
      </c>
      <c r="M16" s="118" t="s">
        <v>118</v>
      </c>
      <c r="N16" s="119" t="s">
        <v>118</v>
      </c>
      <c r="O16" s="615" t="s">
        <v>132</v>
      </c>
      <c r="P16" s="616"/>
      <c r="Q16" s="121" t="s">
        <v>32</v>
      </c>
      <c r="R16" s="119" t="s">
        <v>121</v>
      </c>
    </row>
    <row r="17" spans="2:18" ht="15" customHeight="1">
      <c r="B17" s="111" t="s">
        <v>133</v>
      </c>
      <c r="C17" s="122" t="s">
        <v>134</v>
      </c>
      <c r="D17" s="123" t="s">
        <v>135</v>
      </c>
      <c r="E17" s="111" t="s">
        <v>96</v>
      </c>
      <c r="F17" s="112"/>
      <c r="G17" s="113"/>
      <c r="H17" s="114"/>
      <c r="I17" s="115"/>
      <c r="J17" s="116"/>
      <c r="K17" s="116"/>
      <c r="L17" s="119" t="s">
        <v>136</v>
      </c>
      <c r="M17" s="118"/>
      <c r="N17" s="119"/>
      <c r="O17" s="125"/>
      <c r="P17" s="120"/>
      <c r="Q17" s="121"/>
      <c r="R17" s="119"/>
    </row>
    <row r="18" spans="2:18" ht="15" customHeight="1">
      <c r="B18" s="111"/>
      <c r="C18" s="122"/>
      <c r="D18" s="112"/>
      <c r="E18" s="111"/>
      <c r="F18" s="112"/>
      <c r="G18" s="113"/>
      <c r="H18" s="114"/>
      <c r="I18" s="115"/>
      <c r="J18" s="116"/>
      <c r="K18" s="116"/>
      <c r="L18" s="118"/>
      <c r="M18" s="118"/>
      <c r="N18" s="119"/>
      <c r="O18" s="125"/>
      <c r="P18" s="120"/>
      <c r="Q18" s="121"/>
      <c r="R18" s="119"/>
    </row>
    <row r="19" spans="2:18" ht="15" customHeight="1">
      <c r="B19" s="111" t="s">
        <v>137</v>
      </c>
      <c r="C19" s="606" t="s">
        <v>138</v>
      </c>
      <c r="D19" s="607"/>
      <c r="E19" s="111" t="s">
        <v>100</v>
      </c>
      <c r="F19" s="112" t="s">
        <v>139</v>
      </c>
      <c r="G19" s="113">
        <v>3700</v>
      </c>
      <c r="H19" s="114" t="s">
        <v>140</v>
      </c>
      <c r="I19" s="115" t="s">
        <v>86</v>
      </c>
      <c r="J19" s="116" t="s">
        <v>141</v>
      </c>
      <c r="K19" s="116" t="s">
        <v>142</v>
      </c>
      <c r="L19" s="119" t="s">
        <v>143</v>
      </c>
      <c r="M19" s="118" t="s">
        <v>120</v>
      </c>
      <c r="N19" s="119" t="s">
        <v>118</v>
      </c>
      <c r="O19" s="90" t="s">
        <v>119</v>
      </c>
      <c r="P19" s="120"/>
      <c r="Q19" s="120" t="s">
        <v>120</v>
      </c>
      <c r="R19" s="119" t="s">
        <v>144</v>
      </c>
    </row>
    <row r="20" spans="2:18" ht="15" customHeight="1">
      <c r="B20" s="111"/>
      <c r="C20" s="122" t="s">
        <v>145</v>
      </c>
      <c r="D20" s="123" t="s">
        <v>146</v>
      </c>
      <c r="E20" s="111" t="s">
        <v>96</v>
      </c>
      <c r="F20" s="124" t="s">
        <v>147</v>
      </c>
      <c r="G20" s="113"/>
      <c r="H20" s="114"/>
      <c r="I20" s="115"/>
      <c r="J20" s="116"/>
      <c r="K20" s="116"/>
      <c r="L20" s="119" t="s">
        <v>148</v>
      </c>
      <c r="M20" s="118"/>
      <c r="N20" s="119"/>
      <c r="O20" s="125"/>
      <c r="P20" s="120"/>
      <c r="Q20" s="121"/>
      <c r="R20" s="119"/>
    </row>
    <row r="21" spans="2:18" ht="15" customHeight="1">
      <c r="B21" s="127"/>
      <c r="C21" s="128"/>
      <c r="D21" s="129"/>
      <c r="E21" s="127"/>
      <c r="F21" s="129"/>
      <c r="G21" s="130"/>
      <c r="H21" s="131"/>
      <c r="I21" s="132"/>
      <c r="J21" s="133"/>
      <c r="K21" s="133"/>
      <c r="L21" s="134"/>
      <c r="M21" s="134"/>
      <c r="N21" s="135"/>
      <c r="O21" s="136"/>
      <c r="P21" s="137"/>
      <c r="Q21" s="138"/>
      <c r="R21" s="135"/>
    </row>
    <row r="22" spans="2:18" ht="15" customHeight="1">
      <c r="B22" s="139"/>
      <c r="R22" s="148" t="s">
        <v>149</v>
      </c>
    </row>
    <row r="23" spans="2:18">
      <c r="R23" s="148" t="s">
        <v>54</v>
      </c>
    </row>
  </sheetData>
  <mergeCells count="22">
    <mergeCell ref="B3:B5"/>
    <mergeCell ref="C3:D5"/>
    <mergeCell ref="E3:E5"/>
    <mergeCell ref="F3:F5"/>
    <mergeCell ref="G3:G5"/>
    <mergeCell ref="R3:R5"/>
    <mergeCell ref="L4:L5"/>
    <mergeCell ref="M4:M5"/>
    <mergeCell ref="N4:N5"/>
    <mergeCell ref="O4:P5"/>
    <mergeCell ref="Q4:Q5"/>
    <mergeCell ref="C19:D19"/>
    <mergeCell ref="I3:I5"/>
    <mergeCell ref="J3:K3"/>
    <mergeCell ref="L3:N3"/>
    <mergeCell ref="O3:Q3"/>
    <mergeCell ref="H3:H5"/>
    <mergeCell ref="C7:D7"/>
    <mergeCell ref="C10:D10"/>
    <mergeCell ref="C13:D13"/>
    <mergeCell ref="C16:D16"/>
    <mergeCell ref="O16:P16"/>
  </mergeCells>
  <phoneticPr fontId="1"/>
  <pageMargins left="0.59055118110236227" right="0.41" top="0.78740157480314965" bottom="0.78740157480314965" header="0.39370078740157483" footer="0.39370078740157483"/>
  <pageSetup paperSize="9" orientation="portrait" verticalDpi="0" r:id="rId1"/>
  <headerFooter alignWithMargins="0">
    <oddHeader>&amp;R15.交通・通信</oddHeader>
    <oddFooter>&amp;C-109-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100" workbookViewId="0">
      <selection activeCell="D30" sqref="D30"/>
    </sheetView>
  </sheetViews>
  <sheetFormatPr defaultRowHeight="11.25"/>
  <cols>
    <col min="1" max="1" width="3.625" style="48" customWidth="1"/>
    <col min="2" max="2" width="8.875" style="48" customWidth="1"/>
    <col min="3" max="6" width="7.125" style="48" customWidth="1"/>
    <col min="7" max="7" width="6.625" style="48" customWidth="1"/>
    <col min="8" max="8" width="7.125" style="48" customWidth="1"/>
    <col min="9" max="10" width="6.625" style="48" customWidth="1"/>
    <col min="11" max="11" width="4.5" style="48" bestFit="1" customWidth="1"/>
    <col min="12" max="12" width="6.5" style="48" customWidth="1"/>
    <col min="13" max="13" width="7" style="48" bestFit="1" customWidth="1"/>
    <col min="14" max="14" width="6.75" style="48" customWidth="1"/>
    <col min="15" max="16384" width="9" style="48"/>
  </cols>
  <sheetData>
    <row r="1" spans="1:14" ht="30" customHeight="1">
      <c r="A1" s="47" t="s">
        <v>18</v>
      </c>
    </row>
    <row r="2" spans="1:14" ht="18" customHeight="1">
      <c r="B2" s="49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51" customFormat="1" ht="15" customHeight="1">
      <c r="B3" s="52"/>
      <c r="C3" s="639" t="s">
        <v>19</v>
      </c>
      <c r="D3" s="639"/>
      <c r="E3" s="639"/>
      <c r="F3" s="639"/>
      <c r="G3" s="639"/>
      <c r="H3" s="639" t="s">
        <v>20</v>
      </c>
      <c r="I3" s="639"/>
      <c r="J3" s="639"/>
      <c r="K3" s="641" t="s">
        <v>21</v>
      </c>
      <c r="L3" s="639" t="s">
        <v>22</v>
      </c>
      <c r="M3" s="639"/>
      <c r="N3" s="639"/>
    </row>
    <row r="4" spans="1:14" s="51" customFormat="1" ht="15" customHeight="1">
      <c r="B4" s="53" t="s">
        <v>23</v>
      </c>
      <c r="C4" s="54"/>
      <c r="D4" s="644" t="s">
        <v>24</v>
      </c>
      <c r="E4" s="644"/>
      <c r="F4" s="644"/>
      <c r="G4" s="618" t="s">
        <v>25</v>
      </c>
      <c r="H4" s="640"/>
      <c r="I4" s="640"/>
      <c r="J4" s="640"/>
      <c r="K4" s="642"/>
      <c r="L4" s="640"/>
      <c r="M4" s="640"/>
      <c r="N4" s="640"/>
    </row>
    <row r="5" spans="1:14" s="51" customFormat="1" ht="15" customHeight="1">
      <c r="B5" s="55"/>
      <c r="C5" s="55"/>
      <c r="D5" s="56" t="s">
        <v>26</v>
      </c>
      <c r="E5" s="57" t="s">
        <v>27</v>
      </c>
      <c r="F5" s="58" t="s">
        <v>28</v>
      </c>
      <c r="G5" s="619"/>
      <c r="H5" s="56" t="s">
        <v>26</v>
      </c>
      <c r="I5" s="57" t="s">
        <v>27</v>
      </c>
      <c r="J5" s="58" t="s">
        <v>28</v>
      </c>
      <c r="K5" s="643"/>
      <c r="L5" s="56" t="s">
        <v>26</v>
      </c>
      <c r="M5" s="57" t="s">
        <v>29</v>
      </c>
      <c r="N5" s="58" t="s">
        <v>30</v>
      </c>
    </row>
    <row r="6" spans="1:14" s="59" customFormat="1" ht="18" customHeight="1">
      <c r="B6" s="60" t="s">
        <v>31</v>
      </c>
      <c r="C6" s="61">
        <f t="shared" ref="C6:N6" si="0">SUM(C7:C10)</f>
        <v>30344</v>
      </c>
      <c r="D6" s="61">
        <f t="shared" si="0"/>
        <v>30344</v>
      </c>
      <c r="E6" s="62">
        <f t="shared" si="0"/>
        <v>8700</v>
      </c>
      <c r="F6" s="63">
        <f t="shared" si="0"/>
        <v>21644</v>
      </c>
      <c r="G6" s="64" t="s">
        <v>32</v>
      </c>
      <c r="H6" s="61">
        <f t="shared" si="0"/>
        <v>4239</v>
      </c>
      <c r="I6" s="62">
        <f t="shared" si="0"/>
        <v>2441</v>
      </c>
      <c r="J6" s="63">
        <f t="shared" si="0"/>
        <v>1798</v>
      </c>
      <c r="K6" s="61">
        <f t="shared" si="0"/>
        <v>25</v>
      </c>
      <c r="L6" s="61">
        <f t="shared" si="0"/>
        <v>411</v>
      </c>
      <c r="M6" s="62">
        <f t="shared" si="0"/>
        <v>53</v>
      </c>
      <c r="N6" s="63">
        <f t="shared" si="0"/>
        <v>358</v>
      </c>
    </row>
    <row r="7" spans="1:14" s="59" customFormat="1" ht="18" customHeight="1">
      <c r="B7" s="65" t="s">
        <v>8</v>
      </c>
      <c r="C7" s="66">
        <f>SUM(D7,G7)</f>
        <v>8624</v>
      </c>
      <c r="D7" s="66">
        <f>SUM(E7:F7)</f>
        <v>8624</v>
      </c>
      <c r="E7" s="67">
        <v>2653</v>
      </c>
      <c r="F7" s="68">
        <v>5971</v>
      </c>
      <c r="G7" s="69" t="s">
        <v>33</v>
      </c>
      <c r="H7" s="66">
        <f>SUM(I7:J7)</f>
        <v>1091</v>
      </c>
      <c r="I7" s="67">
        <v>660</v>
      </c>
      <c r="J7" s="68">
        <v>431</v>
      </c>
      <c r="K7" s="69" t="s">
        <v>33</v>
      </c>
      <c r="L7" s="66">
        <f>SUM(M7:N7)</f>
        <v>161</v>
      </c>
      <c r="M7" s="67">
        <v>14</v>
      </c>
      <c r="N7" s="68">
        <v>147</v>
      </c>
    </row>
    <row r="8" spans="1:14" s="59" customFormat="1" ht="18" customHeight="1">
      <c r="B8" s="65" t="s">
        <v>11</v>
      </c>
      <c r="C8" s="66">
        <f>SUM(D8,G8)</f>
        <v>10542</v>
      </c>
      <c r="D8" s="66">
        <f>SUM(E8:F8)</f>
        <v>10542</v>
      </c>
      <c r="E8" s="67">
        <v>2935</v>
      </c>
      <c r="F8" s="68">
        <v>7607</v>
      </c>
      <c r="G8" s="69" t="s">
        <v>32</v>
      </c>
      <c r="H8" s="66">
        <f>SUM(I8:J8)</f>
        <v>1822</v>
      </c>
      <c r="I8" s="67">
        <v>1054</v>
      </c>
      <c r="J8" s="68">
        <v>768</v>
      </c>
      <c r="K8" s="70">
        <v>23</v>
      </c>
      <c r="L8" s="66">
        <f>SUM(M8:N8)</f>
        <v>131</v>
      </c>
      <c r="M8" s="67">
        <v>23</v>
      </c>
      <c r="N8" s="68">
        <v>108</v>
      </c>
    </row>
    <row r="9" spans="1:14" s="59" customFormat="1" ht="18" customHeight="1">
      <c r="B9" s="65" t="s">
        <v>12</v>
      </c>
      <c r="C9" s="66">
        <f>SUM(D9,G9)</f>
        <v>6429</v>
      </c>
      <c r="D9" s="66">
        <f>SUM(E9:F9)</f>
        <v>6429</v>
      </c>
      <c r="E9" s="67">
        <v>1790</v>
      </c>
      <c r="F9" s="68">
        <v>4639</v>
      </c>
      <c r="G9" s="69" t="s">
        <v>32</v>
      </c>
      <c r="H9" s="66">
        <f>SUM(I9:J9)</f>
        <v>942</v>
      </c>
      <c r="I9" s="67">
        <v>526</v>
      </c>
      <c r="J9" s="68">
        <v>416</v>
      </c>
      <c r="K9" s="70">
        <v>2</v>
      </c>
      <c r="L9" s="66">
        <f>SUM(M9:N9)</f>
        <v>83</v>
      </c>
      <c r="M9" s="67">
        <v>10</v>
      </c>
      <c r="N9" s="68">
        <v>73</v>
      </c>
    </row>
    <row r="10" spans="1:14" s="59" customFormat="1" ht="18" customHeight="1">
      <c r="B10" s="65" t="s">
        <v>34</v>
      </c>
      <c r="C10" s="66">
        <f>SUM(D10,G10)</f>
        <v>4749</v>
      </c>
      <c r="D10" s="66">
        <f>SUM(E10:F10)</f>
        <v>4749</v>
      </c>
      <c r="E10" s="67">
        <v>1322</v>
      </c>
      <c r="F10" s="68">
        <v>3427</v>
      </c>
      <c r="G10" s="69" t="s">
        <v>32</v>
      </c>
      <c r="H10" s="66">
        <f>SUM(I10:J10)</f>
        <v>384</v>
      </c>
      <c r="I10" s="67">
        <v>201</v>
      </c>
      <c r="J10" s="68">
        <v>183</v>
      </c>
      <c r="K10" s="69" t="s">
        <v>33</v>
      </c>
      <c r="L10" s="66">
        <f>SUM(M10:N10)</f>
        <v>36</v>
      </c>
      <c r="M10" s="67">
        <v>6</v>
      </c>
      <c r="N10" s="68">
        <v>30</v>
      </c>
    </row>
    <row r="11" spans="1:14" s="59" customFormat="1" ht="18" customHeight="1">
      <c r="B11" s="60" t="s">
        <v>35</v>
      </c>
      <c r="C11" s="61">
        <f t="shared" ref="C11:N11" si="1">SUM(C12:C15)</f>
        <v>28324</v>
      </c>
      <c r="D11" s="61">
        <f t="shared" si="1"/>
        <v>28324</v>
      </c>
      <c r="E11" s="62">
        <f t="shared" si="1"/>
        <v>7728</v>
      </c>
      <c r="F11" s="63">
        <f t="shared" si="1"/>
        <v>20596</v>
      </c>
      <c r="G11" s="64" t="s">
        <v>32</v>
      </c>
      <c r="H11" s="61">
        <f t="shared" si="1"/>
        <v>6314</v>
      </c>
      <c r="I11" s="62">
        <f t="shared" si="1"/>
        <v>3185</v>
      </c>
      <c r="J11" s="63">
        <f t="shared" si="1"/>
        <v>3129</v>
      </c>
      <c r="K11" s="61">
        <f t="shared" si="1"/>
        <v>47</v>
      </c>
      <c r="L11" s="61">
        <f t="shared" si="1"/>
        <v>387</v>
      </c>
      <c r="M11" s="62">
        <f t="shared" si="1"/>
        <v>64</v>
      </c>
      <c r="N11" s="63">
        <f t="shared" si="1"/>
        <v>323</v>
      </c>
    </row>
    <row r="12" spans="1:14" s="59" customFormat="1" ht="18" customHeight="1">
      <c r="B12" s="65" t="s">
        <v>8</v>
      </c>
      <c r="C12" s="66">
        <f>SUM(D12,G12)</f>
        <v>8015</v>
      </c>
      <c r="D12" s="66">
        <f>SUM(E12:F12)</f>
        <v>8015</v>
      </c>
      <c r="E12" s="67">
        <v>2375</v>
      </c>
      <c r="F12" s="68">
        <v>5640</v>
      </c>
      <c r="G12" s="69" t="s">
        <v>32</v>
      </c>
      <c r="H12" s="66">
        <f>SUM(I12:J12)</f>
        <v>1646</v>
      </c>
      <c r="I12" s="67">
        <v>871</v>
      </c>
      <c r="J12" s="68">
        <v>775</v>
      </c>
      <c r="K12" s="69" t="s">
        <v>33</v>
      </c>
      <c r="L12" s="66">
        <f>SUM(M12:N12)</f>
        <v>151</v>
      </c>
      <c r="M12" s="67">
        <v>19</v>
      </c>
      <c r="N12" s="68">
        <v>132</v>
      </c>
    </row>
    <row r="13" spans="1:14" s="59" customFormat="1" ht="18" customHeight="1">
      <c r="B13" s="65" t="s">
        <v>11</v>
      </c>
      <c r="C13" s="66">
        <f>SUM(D13,G13)</f>
        <v>9857</v>
      </c>
      <c r="D13" s="66">
        <f>SUM(E13:F13)</f>
        <v>9857</v>
      </c>
      <c r="E13" s="67">
        <v>2598</v>
      </c>
      <c r="F13" s="68">
        <v>7259</v>
      </c>
      <c r="G13" s="69" t="s">
        <v>32</v>
      </c>
      <c r="H13" s="66">
        <f>SUM(I13:J13)</f>
        <v>2642</v>
      </c>
      <c r="I13" s="67">
        <v>1352</v>
      </c>
      <c r="J13" s="68">
        <v>1290</v>
      </c>
      <c r="K13" s="70">
        <v>45</v>
      </c>
      <c r="L13" s="66">
        <f>SUM(M13:N13)</f>
        <v>124</v>
      </c>
      <c r="M13" s="67">
        <v>24</v>
      </c>
      <c r="N13" s="68">
        <v>100</v>
      </c>
    </row>
    <row r="14" spans="1:14" s="59" customFormat="1" ht="18" customHeight="1">
      <c r="B14" s="65" t="s">
        <v>12</v>
      </c>
      <c r="C14" s="66">
        <f>SUM(D14,G14)</f>
        <v>6011</v>
      </c>
      <c r="D14" s="66">
        <f>SUM(E14:F14)</f>
        <v>6011</v>
      </c>
      <c r="E14" s="67">
        <v>1584</v>
      </c>
      <c r="F14" s="68">
        <v>4427</v>
      </c>
      <c r="G14" s="69" t="s">
        <v>32</v>
      </c>
      <c r="H14" s="66">
        <f>SUM(I14:J14)</f>
        <v>1408</v>
      </c>
      <c r="I14" s="67">
        <v>696</v>
      </c>
      <c r="J14" s="68">
        <v>712</v>
      </c>
      <c r="K14" s="70">
        <v>2</v>
      </c>
      <c r="L14" s="66">
        <f>SUM(M14:N14)</f>
        <v>77</v>
      </c>
      <c r="M14" s="67">
        <v>15</v>
      </c>
      <c r="N14" s="68">
        <v>62</v>
      </c>
    </row>
    <row r="15" spans="1:14" s="59" customFormat="1" ht="18" customHeight="1">
      <c r="B15" s="65" t="s">
        <v>34</v>
      </c>
      <c r="C15" s="66">
        <f>SUM(D15,G15)</f>
        <v>4441</v>
      </c>
      <c r="D15" s="66">
        <f>SUM(E15:F15)</f>
        <v>4441</v>
      </c>
      <c r="E15" s="67">
        <v>1171</v>
      </c>
      <c r="F15" s="68">
        <v>3270</v>
      </c>
      <c r="G15" s="69" t="s">
        <v>32</v>
      </c>
      <c r="H15" s="66">
        <f>SUM(I15:J15)</f>
        <v>618</v>
      </c>
      <c r="I15" s="67">
        <v>266</v>
      </c>
      <c r="J15" s="68">
        <v>352</v>
      </c>
      <c r="K15" s="69" t="s">
        <v>33</v>
      </c>
      <c r="L15" s="66">
        <f>SUM(M15:N15)</f>
        <v>35</v>
      </c>
      <c r="M15" s="67">
        <v>6</v>
      </c>
      <c r="N15" s="68">
        <v>29</v>
      </c>
    </row>
    <row r="16" spans="1:14" s="59" customFormat="1" ht="18" customHeight="1">
      <c r="B16" s="60" t="s">
        <v>36</v>
      </c>
      <c r="C16" s="61">
        <f t="shared" ref="C16:N16" si="2">SUM(C17:C20)</f>
        <v>27742</v>
      </c>
      <c r="D16" s="61">
        <f t="shared" si="2"/>
        <v>27742</v>
      </c>
      <c r="E16" s="62">
        <f t="shared" si="2"/>
        <v>7000</v>
      </c>
      <c r="F16" s="63">
        <f t="shared" si="2"/>
        <v>20742</v>
      </c>
      <c r="G16" s="64" t="s">
        <v>32</v>
      </c>
      <c r="H16" s="61">
        <f t="shared" si="2"/>
        <v>6688</v>
      </c>
      <c r="I16" s="62">
        <f t="shared" si="2"/>
        <v>3567</v>
      </c>
      <c r="J16" s="63">
        <f t="shared" si="2"/>
        <v>3121</v>
      </c>
      <c r="K16" s="61">
        <f t="shared" si="2"/>
        <v>34</v>
      </c>
      <c r="L16" s="61">
        <f t="shared" si="2"/>
        <v>353</v>
      </c>
      <c r="M16" s="62">
        <f t="shared" si="2"/>
        <v>67</v>
      </c>
      <c r="N16" s="63">
        <f t="shared" si="2"/>
        <v>286</v>
      </c>
    </row>
    <row r="17" spans="2:14" s="59" customFormat="1" ht="18" customHeight="1">
      <c r="B17" s="65" t="s">
        <v>8</v>
      </c>
      <c r="C17" s="66">
        <f>SUM(D17,G17)</f>
        <v>7781</v>
      </c>
      <c r="D17" s="66">
        <f>SUM(E17:F17)</f>
        <v>7781</v>
      </c>
      <c r="E17" s="67">
        <v>2128</v>
      </c>
      <c r="F17" s="68">
        <v>5653</v>
      </c>
      <c r="G17" s="69" t="s">
        <v>32</v>
      </c>
      <c r="H17" s="66">
        <f>SUM(I17:J17)</f>
        <v>1765</v>
      </c>
      <c r="I17" s="67">
        <v>998</v>
      </c>
      <c r="J17" s="68">
        <v>767</v>
      </c>
      <c r="K17" s="70">
        <v>1</v>
      </c>
      <c r="L17" s="66">
        <f>SUM(M17:N17)</f>
        <v>138</v>
      </c>
      <c r="M17" s="67">
        <v>20</v>
      </c>
      <c r="N17" s="68">
        <v>118</v>
      </c>
    </row>
    <row r="18" spans="2:14" s="59" customFormat="1" ht="18" customHeight="1">
      <c r="B18" s="65" t="s">
        <v>11</v>
      </c>
      <c r="C18" s="66">
        <f>SUM(D18,G18)</f>
        <v>9689</v>
      </c>
      <c r="D18" s="66">
        <f>SUM(E18:F18)</f>
        <v>9689</v>
      </c>
      <c r="E18" s="67">
        <v>2365</v>
      </c>
      <c r="F18" s="68">
        <v>7324</v>
      </c>
      <c r="G18" s="69" t="s">
        <v>32</v>
      </c>
      <c r="H18" s="66">
        <f>SUM(I18:J18)</f>
        <v>2821</v>
      </c>
      <c r="I18" s="67">
        <v>1501</v>
      </c>
      <c r="J18" s="68">
        <v>1320</v>
      </c>
      <c r="K18" s="70">
        <v>31</v>
      </c>
      <c r="L18" s="66">
        <f>SUM(M18:N18)</f>
        <v>113</v>
      </c>
      <c r="M18" s="67">
        <v>25</v>
      </c>
      <c r="N18" s="68">
        <v>88</v>
      </c>
    </row>
    <row r="19" spans="2:14" s="59" customFormat="1" ht="18" customHeight="1">
      <c r="B19" s="65" t="s">
        <v>12</v>
      </c>
      <c r="C19" s="66">
        <f>SUM(D19,G19)</f>
        <v>5908</v>
      </c>
      <c r="D19" s="66">
        <f>SUM(E19:F19)</f>
        <v>5908</v>
      </c>
      <c r="E19" s="67">
        <v>1442</v>
      </c>
      <c r="F19" s="68">
        <v>4466</v>
      </c>
      <c r="G19" s="69" t="s">
        <v>32</v>
      </c>
      <c r="H19" s="66">
        <f>SUM(I19:J19)</f>
        <v>1393</v>
      </c>
      <c r="I19" s="67">
        <v>748</v>
      </c>
      <c r="J19" s="68">
        <v>645</v>
      </c>
      <c r="K19" s="70">
        <v>2</v>
      </c>
      <c r="L19" s="66">
        <f>SUM(M19:N19)</f>
        <v>71</v>
      </c>
      <c r="M19" s="67">
        <v>16</v>
      </c>
      <c r="N19" s="68">
        <v>55</v>
      </c>
    </row>
    <row r="20" spans="2:14" s="59" customFormat="1" ht="18" customHeight="1">
      <c r="B20" s="65" t="s">
        <v>34</v>
      </c>
      <c r="C20" s="66">
        <f>SUM(D20,G20)</f>
        <v>4364</v>
      </c>
      <c r="D20" s="66">
        <f>SUM(E20:F20)</f>
        <v>4364</v>
      </c>
      <c r="E20" s="67">
        <v>1065</v>
      </c>
      <c r="F20" s="68">
        <v>3299</v>
      </c>
      <c r="G20" s="69" t="s">
        <v>32</v>
      </c>
      <c r="H20" s="66">
        <f>SUM(I20:J20)</f>
        <v>709</v>
      </c>
      <c r="I20" s="67">
        <v>320</v>
      </c>
      <c r="J20" s="68">
        <v>389</v>
      </c>
      <c r="K20" s="69" t="s">
        <v>37</v>
      </c>
      <c r="L20" s="66">
        <f>SUM(M20:N20)</f>
        <v>31</v>
      </c>
      <c r="M20" s="67">
        <v>6</v>
      </c>
      <c r="N20" s="68">
        <v>25</v>
      </c>
    </row>
    <row r="21" spans="2:14" s="59" customFormat="1" ht="18" customHeight="1">
      <c r="B21" s="60" t="s">
        <v>38</v>
      </c>
      <c r="C21" s="61">
        <f t="shared" ref="C21:N21" si="3">SUM(C22:C25)</f>
        <v>28106</v>
      </c>
      <c r="D21" s="61">
        <f t="shared" si="3"/>
        <v>28106</v>
      </c>
      <c r="E21" s="62">
        <f t="shared" si="3"/>
        <v>6696</v>
      </c>
      <c r="F21" s="63">
        <f t="shared" si="3"/>
        <v>21410</v>
      </c>
      <c r="G21" s="64" t="s">
        <v>32</v>
      </c>
      <c r="H21" s="61">
        <f t="shared" si="3"/>
        <v>6194</v>
      </c>
      <c r="I21" s="62">
        <f t="shared" si="3"/>
        <v>3665</v>
      </c>
      <c r="J21" s="63">
        <f t="shared" si="3"/>
        <v>2529</v>
      </c>
      <c r="K21" s="61">
        <f t="shared" si="3"/>
        <v>20</v>
      </c>
      <c r="L21" s="61">
        <f t="shared" si="3"/>
        <v>329</v>
      </c>
      <c r="M21" s="62">
        <f t="shared" si="3"/>
        <v>73</v>
      </c>
      <c r="N21" s="63">
        <f t="shared" si="3"/>
        <v>256</v>
      </c>
    </row>
    <row r="22" spans="2:14" s="59" customFormat="1" ht="18" customHeight="1">
      <c r="B22" s="65" t="s">
        <v>8</v>
      </c>
      <c r="C22" s="66">
        <f>SUM(D22,G22)</f>
        <v>7781</v>
      </c>
      <c r="D22" s="66">
        <f>SUM(E22:F22)</f>
        <v>7781</v>
      </c>
      <c r="E22" s="67">
        <v>2052</v>
      </c>
      <c r="F22" s="68">
        <v>5729</v>
      </c>
      <c r="G22" s="69" t="s">
        <v>32</v>
      </c>
      <c r="H22" s="66">
        <f>SUM(I22:J22)</f>
        <v>1662</v>
      </c>
      <c r="I22" s="67">
        <v>1012</v>
      </c>
      <c r="J22" s="68">
        <v>650</v>
      </c>
      <c r="K22" s="70">
        <v>1</v>
      </c>
      <c r="L22" s="66">
        <f>SUM(M22:N22)</f>
        <v>128</v>
      </c>
      <c r="M22" s="67">
        <v>23</v>
      </c>
      <c r="N22" s="68">
        <v>105</v>
      </c>
    </row>
    <row r="23" spans="2:14" s="59" customFormat="1" ht="18" customHeight="1">
      <c r="B23" s="65" t="s">
        <v>11</v>
      </c>
      <c r="C23" s="66">
        <f>SUM(D23,G23)</f>
        <v>9865</v>
      </c>
      <c r="D23" s="66">
        <f>SUM(E23:F23)</f>
        <v>9865</v>
      </c>
      <c r="E23" s="67">
        <v>2254</v>
      </c>
      <c r="F23" s="68">
        <v>7611</v>
      </c>
      <c r="G23" s="69" t="s">
        <v>32</v>
      </c>
      <c r="H23" s="66">
        <f>SUM(I23:J23)</f>
        <v>2618</v>
      </c>
      <c r="I23" s="67">
        <v>1557</v>
      </c>
      <c r="J23" s="68">
        <v>1061</v>
      </c>
      <c r="K23" s="70">
        <v>15</v>
      </c>
      <c r="L23" s="66">
        <f>SUM(M23:N23)</f>
        <v>107</v>
      </c>
      <c r="M23" s="67">
        <v>26</v>
      </c>
      <c r="N23" s="68">
        <v>81</v>
      </c>
    </row>
    <row r="24" spans="2:14" s="59" customFormat="1" ht="18" customHeight="1">
      <c r="B24" s="65" t="s">
        <v>12</v>
      </c>
      <c r="C24" s="66">
        <f>SUM(D24,G24)</f>
        <v>6016</v>
      </c>
      <c r="D24" s="66">
        <f>SUM(E24:F24)</f>
        <v>6016</v>
      </c>
      <c r="E24" s="67">
        <v>1375</v>
      </c>
      <c r="F24" s="68">
        <v>4641</v>
      </c>
      <c r="G24" s="69" t="s">
        <v>32</v>
      </c>
      <c r="H24" s="66">
        <f>SUM(I24:J24)</f>
        <v>1269</v>
      </c>
      <c r="I24" s="67">
        <v>775</v>
      </c>
      <c r="J24" s="68">
        <v>494</v>
      </c>
      <c r="K24" s="70">
        <v>2</v>
      </c>
      <c r="L24" s="66">
        <f>SUM(M24:N24)</f>
        <v>63</v>
      </c>
      <c r="M24" s="67">
        <v>18</v>
      </c>
      <c r="N24" s="68">
        <v>45</v>
      </c>
    </row>
    <row r="25" spans="2:14" s="59" customFormat="1" ht="18" customHeight="1">
      <c r="B25" s="65" t="s">
        <v>34</v>
      </c>
      <c r="C25" s="66">
        <f>SUM(D25,G25)</f>
        <v>4444</v>
      </c>
      <c r="D25" s="66">
        <f>SUM(E25:F25)</f>
        <v>4444</v>
      </c>
      <c r="E25" s="67">
        <v>1015</v>
      </c>
      <c r="F25" s="68">
        <v>3429</v>
      </c>
      <c r="G25" s="69" t="s">
        <v>32</v>
      </c>
      <c r="H25" s="66">
        <f>SUM(I25:J25)</f>
        <v>645</v>
      </c>
      <c r="I25" s="67">
        <v>321</v>
      </c>
      <c r="J25" s="68">
        <v>324</v>
      </c>
      <c r="K25" s="70">
        <v>2</v>
      </c>
      <c r="L25" s="66">
        <f>SUM(M25:N25)</f>
        <v>31</v>
      </c>
      <c r="M25" s="67">
        <v>6</v>
      </c>
      <c r="N25" s="68">
        <v>25</v>
      </c>
    </row>
    <row r="26" spans="2:14" s="71" customFormat="1" ht="18" customHeight="1">
      <c r="B26" s="60" t="s">
        <v>39</v>
      </c>
      <c r="C26" s="61">
        <f t="shared" ref="C26:N26" si="4">SUM(C27:C30)</f>
        <v>28688</v>
      </c>
      <c r="D26" s="61">
        <f t="shared" si="4"/>
        <v>28688</v>
      </c>
      <c r="E26" s="62">
        <f t="shared" si="4"/>
        <v>6590</v>
      </c>
      <c r="F26" s="63">
        <f t="shared" si="4"/>
        <v>22098</v>
      </c>
      <c r="G26" s="64" t="s">
        <v>32</v>
      </c>
      <c r="H26" s="61">
        <f t="shared" si="4"/>
        <v>5702</v>
      </c>
      <c r="I26" s="62">
        <f t="shared" si="4"/>
        <v>3797</v>
      </c>
      <c r="J26" s="63">
        <f t="shared" si="4"/>
        <v>1905</v>
      </c>
      <c r="K26" s="64" t="s">
        <v>32</v>
      </c>
      <c r="L26" s="61">
        <f t="shared" si="4"/>
        <v>261</v>
      </c>
      <c r="M26" s="62">
        <f t="shared" si="4"/>
        <v>77</v>
      </c>
      <c r="N26" s="63">
        <f t="shared" si="4"/>
        <v>184</v>
      </c>
    </row>
    <row r="27" spans="2:14" s="59" customFormat="1" ht="18" customHeight="1">
      <c r="B27" s="65" t="s">
        <v>8</v>
      </c>
      <c r="C27" s="66">
        <f>SUM(D27,G27)</f>
        <v>7910</v>
      </c>
      <c r="D27" s="66">
        <f>SUM(E27:F27)</f>
        <v>7910</v>
      </c>
      <c r="E27" s="72">
        <v>2030</v>
      </c>
      <c r="F27" s="73">
        <v>5880</v>
      </c>
      <c r="G27" s="69" t="s">
        <v>32</v>
      </c>
      <c r="H27" s="66">
        <f>SUM(I27:J27)</f>
        <v>1491</v>
      </c>
      <c r="I27" s="72">
        <v>1005</v>
      </c>
      <c r="J27" s="73">
        <v>486</v>
      </c>
      <c r="K27" s="69" t="s">
        <v>37</v>
      </c>
      <c r="L27" s="66">
        <f>SUM(M27:N27)</f>
        <v>93</v>
      </c>
      <c r="M27" s="72">
        <v>23</v>
      </c>
      <c r="N27" s="73">
        <v>70</v>
      </c>
    </row>
    <row r="28" spans="2:14" s="59" customFormat="1" ht="18" customHeight="1">
      <c r="B28" s="65" t="s">
        <v>11</v>
      </c>
      <c r="C28" s="66">
        <f>SUM(D28,G28)</f>
        <v>9911</v>
      </c>
      <c r="D28" s="66">
        <f>SUM(E28:F28)</f>
        <v>9911</v>
      </c>
      <c r="E28" s="72">
        <v>2429</v>
      </c>
      <c r="F28" s="73">
        <v>7482</v>
      </c>
      <c r="G28" s="69" t="s">
        <v>32</v>
      </c>
      <c r="H28" s="66">
        <f>SUM(I28:J28)</f>
        <v>2008</v>
      </c>
      <c r="I28" s="72">
        <v>1401</v>
      </c>
      <c r="J28" s="73">
        <v>607</v>
      </c>
      <c r="K28" s="69" t="s">
        <v>37</v>
      </c>
      <c r="L28" s="66">
        <f>SUM(M28:N28)</f>
        <v>83</v>
      </c>
      <c r="M28" s="72">
        <v>26</v>
      </c>
      <c r="N28" s="73">
        <v>57</v>
      </c>
    </row>
    <row r="29" spans="2:14" s="59" customFormat="1" ht="18" customHeight="1">
      <c r="B29" s="65" t="s">
        <v>12</v>
      </c>
      <c r="C29" s="66">
        <f>SUM(D29,G29)</f>
        <v>7231</v>
      </c>
      <c r="D29" s="66">
        <f>SUM(E29:F29)</f>
        <v>7231</v>
      </c>
      <c r="E29" s="72">
        <v>1383</v>
      </c>
      <c r="F29" s="73">
        <v>5848</v>
      </c>
      <c r="G29" s="69" t="s">
        <v>32</v>
      </c>
      <c r="H29" s="66">
        <f>SUM(I29:J29)</f>
        <v>1304</v>
      </c>
      <c r="I29" s="72">
        <v>879</v>
      </c>
      <c r="J29" s="73">
        <v>425</v>
      </c>
      <c r="K29" s="69" t="s">
        <v>37</v>
      </c>
      <c r="L29" s="66">
        <f>SUM(M29:N29)</f>
        <v>58</v>
      </c>
      <c r="M29" s="72">
        <v>21</v>
      </c>
      <c r="N29" s="73">
        <v>37</v>
      </c>
    </row>
    <row r="30" spans="2:14" s="59" customFormat="1" ht="18" customHeight="1">
      <c r="B30" s="65" t="s">
        <v>34</v>
      </c>
      <c r="C30" s="66">
        <f>SUM(D30,G30)</f>
        <v>3636</v>
      </c>
      <c r="D30" s="66">
        <f>SUM(E30:F30)</f>
        <v>3636</v>
      </c>
      <c r="E30" s="72">
        <v>748</v>
      </c>
      <c r="F30" s="73">
        <v>2888</v>
      </c>
      <c r="G30" s="69" t="s">
        <v>32</v>
      </c>
      <c r="H30" s="66">
        <f>SUM(I30:J30)</f>
        <v>899</v>
      </c>
      <c r="I30" s="72">
        <v>512</v>
      </c>
      <c r="J30" s="73">
        <v>387</v>
      </c>
      <c r="K30" s="69" t="s">
        <v>37</v>
      </c>
      <c r="L30" s="66">
        <f>SUM(M30:N30)</f>
        <v>27</v>
      </c>
      <c r="M30" s="72">
        <v>7</v>
      </c>
      <c r="N30" s="73">
        <v>20</v>
      </c>
    </row>
    <row r="31" spans="2:14" s="71" customFormat="1" ht="18" customHeight="1">
      <c r="B31" s="60" t="s">
        <v>40</v>
      </c>
      <c r="C31" s="61">
        <f>SUM(C32:C35)</f>
        <v>28770</v>
      </c>
      <c r="D31" s="61">
        <f t="shared" ref="D31:N31" si="5">SUM(D32:D35)</f>
        <v>28770</v>
      </c>
      <c r="E31" s="62">
        <f t="shared" si="5"/>
        <v>6421</v>
      </c>
      <c r="F31" s="63">
        <f t="shared" si="5"/>
        <v>22349</v>
      </c>
      <c r="G31" s="64" t="s">
        <v>32</v>
      </c>
      <c r="H31" s="61">
        <f t="shared" si="5"/>
        <v>5051</v>
      </c>
      <c r="I31" s="62">
        <f t="shared" si="5"/>
        <v>3587</v>
      </c>
      <c r="J31" s="63">
        <f t="shared" si="5"/>
        <v>1464</v>
      </c>
      <c r="K31" s="64" t="s">
        <v>32</v>
      </c>
      <c r="L31" s="61">
        <f t="shared" si="5"/>
        <v>228</v>
      </c>
      <c r="M31" s="62">
        <f t="shared" si="5"/>
        <v>75</v>
      </c>
      <c r="N31" s="63">
        <f t="shared" si="5"/>
        <v>153</v>
      </c>
    </row>
    <row r="32" spans="2:14" s="59" customFormat="1" ht="18" customHeight="1">
      <c r="B32" s="65" t="s">
        <v>8</v>
      </c>
      <c r="C32" s="66">
        <f>SUM(D32,G32)</f>
        <v>7957</v>
      </c>
      <c r="D32" s="66">
        <f>SUM(E32:F32)</f>
        <v>7957</v>
      </c>
      <c r="E32" s="72">
        <v>2004</v>
      </c>
      <c r="F32" s="73">
        <v>5953</v>
      </c>
      <c r="G32" s="69" t="s">
        <v>32</v>
      </c>
      <c r="H32" s="66">
        <f>SUM(I32:J32)</f>
        <v>1375</v>
      </c>
      <c r="I32" s="72">
        <v>992</v>
      </c>
      <c r="J32" s="73">
        <v>383</v>
      </c>
      <c r="K32" s="69" t="s">
        <v>37</v>
      </c>
      <c r="L32" s="66">
        <f>SUM(M32:N32)</f>
        <v>81</v>
      </c>
      <c r="M32" s="72">
        <v>21</v>
      </c>
      <c r="N32" s="73">
        <v>60</v>
      </c>
    </row>
    <row r="33" spans="2:14" s="59" customFormat="1" ht="18" customHeight="1">
      <c r="B33" s="65" t="s">
        <v>11</v>
      </c>
      <c r="C33" s="66">
        <f>SUM(D33,G33)</f>
        <v>9758</v>
      </c>
      <c r="D33" s="66">
        <f>SUM(E33:F33)</f>
        <v>9758</v>
      </c>
      <c r="E33" s="72">
        <v>2301</v>
      </c>
      <c r="F33" s="73">
        <v>7457</v>
      </c>
      <c r="G33" s="69" t="s">
        <v>32</v>
      </c>
      <c r="H33" s="66">
        <f>SUM(I33:J33)</f>
        <v>1733</v>
      </c>
      <c r="I33" s="72">
        <v>1252</v>
      </c>
      <c r="J33" s="73">
        <v>481</v>
      </c>
      <c r="K33" s="69" t="s">
        <v>37</v>
      </c>
      <c r="L33" s="66">
        <f>SUM(M33:N33)</f>
        <v>73</v>
      </c>
      <c r="M33" s="72">
        <v>26</v>
      </c>
      <c r="N33" s="73">
        <v>47</v>
      </c>
    </row>
    <row r="34" spans="2:14" s="59" customFormat="1" ht="18" customHeight="1">
      <c r="B34" s="65" t="s">
        <v>12</v>
      </c>
      <c r="C34" s="66">
        <f>SUM(D34,G34)</f>
        <v>7330</v>
      </c>
      <c r="D34" s="66">
        <f>SUM(E34:F34)</f>
        <v>7330</v>
      </c>
      <c r="E34" s="72">
        <v>1368</v>
      </c>
      <c r="F34" s="73">
        <v>5962</v>
      </c>
      <c r="G34" s="69" t="s">
        <v>32</v>
      </c>
      <c r="H34" s="66">
        <f>SUM(I34:J34)</f>
        <v>1190</v>
      </c>
      <c r="I34" s="72">
        <v>871</v>
      </c>
      <c r="J34" s="73">
        <v>319</v>
      </c>
      <c r="K34" s="69" t="s">
        <v>37</v>
      </c>
      <c r="L34" s="66">
        <f>SUM(M34:N34)</f>
        <v>51</v>
      </c>
      <c r="M34" s="72">
        <v>21</v>
      </c>
      <c r="N34" s="73">
        <v>30</v>
      </c>
    </row>
    <row r="35" spans="2:14" s="59" customFormat="1" ht="18" customHeight="1">
      <c r="B35" s="74" t="s">
        <v>34</v>
      </c>
      <c r="C35" s="75">
        <f>SUM(D35,G35)</f>
        <v>3725</v>
      </c>
      <c r="D35" s="75">
        <f>SUM(E35:F35)</f>
        <v>3725</v>
      </c>
      <c r="E35" s="76">
        <v>748</v>
      </c>
      <c r="F35" s="77">
        <v>2977</v>
      </c>
      <c r="G35" s="78" t="s">
        <v>32</v>
      </c>
      <c r="H35" s="75">
        <f>SUM(I35:J35)</f>
        <v>753</v>
      </c>
      <c r="I35" s="76">
        <v>472</v>
      </c>
      <c r="J35" s="77">
        <v>281</v>
      </c>
      <c r="K35" s="78" t="s">
        <v>37</v>
      </c>
      <c r="L35" s="75">
        <f>SUM(M35:N35)</f>
        <v>23</v>
      </c>
      <c r="M35" s="76">
        <v>7</v>
      </c>
      <c r="N35" s="77">
        <v>16</v>
      </c>
    </row>
    <row r="36" spans="2:14" s="71" customFormat="1" ht="18" customHeight="1">
      <c r="B36" s="79" t="s">
        <v>41</v>
      </c>
      <c r="C36" s="80">
        <v>27731</v>
      </c>
      <c r="D36" s="80">
        <v>27731</v>
      </c>
      <c r="E36" s="81">
        <v>6059</v>
      </c>
      <c r="F36" s="82">
        <v>21672</v>
      </c>
      <c r="G36" s="83" t="s">
        <v>32</v>
      </c>
      <c r="H36" s="80">
        <v>4585</v>
      </c>
      <c r="I36" s="81">
        <v>3431</v>
      </c>
      <c r="J36" s="82">
        <v>1154</v>
      </c>
      <c r="K36" s="83" t="s">
        <v>32</v>
      </c>
      <c r="L36" s="80">
        <v>208</v>
      </c>
      <c r="M36" s="81">
        <v>63</v>
      </c>
      <c r="N36" s="82">
        <v>145</v>
      </c>
    </row>
    <row r="37" spans="2:14" s="71" customFormat="1" ht="18" customHeight="1">
      <c r="B37" s="79" t="s">
        <v>42</v>
      </c>
      <c r="C37" s="80">
        <v>25479</v>
      </c>
      <c r="D37" s="80">
        <v>25479</v>
      </c>
      <c r="E37" s="81">
        <v>5625</v>
      </c>
      <c r="F37" s="82">
        <v>19854</v>
      </c>
      <c r="G37" s="83" t="s">
        <v>32</v>
      </c>
      <c r="H37" s="80">
        <v>4284</v>
      </c>
      <c r="I37" s="81">
        <v>3383</v>
      </c>
      <c r="J37" s="82">
        <v>901</v>
      </c>
      <c r="K37" s="83" t="s">
        <v>32</v>
      </c>
      <c r="L37" s="80">
        <v>199</v>
      </c>
      <c r="M37" s="81">
        <v>64</v>
      </c>
      <c r="N37" s="82">
        <v>135</v>
      </c>
    </row>
    <row r="38" spans="2:14" s="71" customFormat="1" ht="18" customHeight="1">
      <c r="B38" s="79" t="s">
        <v>43</v>
      </c>
      <c r="C38" s="80">
        <v>23565</v>
      </c>
      <c r="D38" s="80">
        <v>23565</v>
      </c>
      <c r="E38" s="81">
        <v>5145</v>
      </c>
      <c r="F38" s="82">
        <v>18420</v>
      </c>
      <c r="G38" s="83" t="s">
        <v>32</v>
      </c>
      <c r="H38" s="80">
        <v>954</v>
      </c>
      <c r="I38" s="81">
        <v>719</v>
      </c>
      <c r="J38" s="82">
        <v>235</v>
      </c>
      <c r="K38" s="84"/>
      <c r="L38" s="80">
        <v>180</v>
      </c>
      <c r="M38" s="81">
        <v>54</v>
      </c>
      <c r="N38" s="82">
        <v>126</v>
      </c>
    </row>
    <row r="39" spans="2:14" s="71" customFormat="1" ht="18" customHeight="1">
      <c r="B39" s="79" t="s">
        <v>44</v>
      </c>
      <c r="C39" s="80">
        <v>21664</v>
      </c>
      <c r="D39" s="80">
        <v>21664</v>
      </c>
      <c r="E39" s="81">
        <v>4539</v>
      </c>
      <c r="F39" s="82">
        <v>17125</v>
      </c>
      <c r="G39" s="83" t="s">
        <v>32</v>
      </c>
      <c r="H39" s="80">
        <v>3270</v>
      </c>
      <c r="I39" s="81">
        <v>2681</v>
      </c>
      <c r="J39" s="82">
        <v>589</v>
      </c>
      <c r="K39" s="84"/>
      <c r="L39" s="80">
        <v>177</v>
      </c>
      <c r="M39" s="81">
        <v>48</v>
      </c>
      <c r="N39" s="82">
        <v>129</v>
      </c>
    </row>
    <row r="40" spans="2:14" s="71" customFormat="1" ht="18" customHeight="1">
      <c r="B40" s="79" t="s">
        <v>45</v>
      </c>
      <c r="C40" s="80">
        <v>19358</v>
      </c>
      <c r="D40" s="80">
        <v>19358</v>
      </c>
      <c r="E40" s="81">
        <v>4003</v>
      </c>
      <c r="F40" s="82">
        <v>15355</v>
      </c>
      <c r="G40" s="83" t="s">
        <v>32</v>
      </c>
      <c r="H40" s="80">
        <v>2989</v>
      </c>
      <c r="I40" s="81">
        <v>2533</v>
      </c>
      <c r="J40" s="82">
        <v>456</v>
      </c>
      <c r="K40" s="84"/>
      <c r="L40" s="80">
        <v>169</v>
      </c>
      <c r="M40" s="81">
        <v>46</v>
      </c>
      <c r="N40" s="82">
        <v>123</v>
      </c>
    </row>
    <row r="41" spans="2:14" s="71" customFormat="1" ht="18" customHeight="1">
      <c r="B41" s="79" t="s">
        <v>46</v>
      </c>
      <c r="C41" s="80">
        <v>17800</v>
      </c>
      <c r="D41" s="80">
        <v>17800</v>
      </c>
      <c r="E41" s="81">
        <v>3658</v>
      </c>
      <c r="F41" s="82">
        <v>14142</v>
      </c>
      <c r="G41" s="83" t="s">
        <v>32</v>
      </c>
      <c r="H41" s="80">
        <v>2771</v>
      </c>
      <c r="I41" s="81">
        <v>2394</v>
      </c>
      <c r="J41" s="82">
        <v>377</v>
      </c>
      <c r="K41" s="84"/>
      <c r="L41" s="80">
        <v>162</v>
      </c>
      <c r="M41" s="81">
        <v>46</v>
      </c>
      <c r="N41" s="82">
        <v>116</v>
      </c>
    </row>
    <row r="42" spans="2:14" s="71" customFormat="1" ht="18" customHeight="1">
      <c r="B42" s="79" t="s">
        <v>47</v>
      </c>
      <c r="C42" s="80">
        <f>SUM(E42:G42)</f>
        <v>15886</v>
      </c>
      <c r="D42" s="80">
        <f>SUM(E42:F42)</f>
        <v>15886</v>
      </c>
      <c r="E42" s="81">
        <v>3507</v>
      </c>
      <c r="F42" s="82">
        <v>12379</v>
      </c>
      <c r="G42" s="83" t="s">
        <v>32</v>
      </c>
      <c r="H42" s="80">
        <f>SUM(I42:J42)</f>
        <v>2389</v>
      </c>
      <c r="I42" s="81">
        <v>2091</v>
      </c>
      <c r="J42" s="82">
        <v>298</v>
      </c>
      <c r="K42" s="84"/>
      <c r="L42" s="80">
        <f>SUM(M42:N42)</f>
        <v>152</v>
      </c>
      <c r="M42" s="81">
        <v>106</v>
      </c>
      <c r="N42" s="82">
        <v>46</v>
      </c>
    </row>
    <row r="43" spans="2:14" s="71" customFormat="1" ht="18" customHeight="1">
      <c r="B43" s="79" t="s">
        <v>48</v>
      </c>
      <c r="C43" s="80">
        <f>SUM(E43:G43)</f>
        <v>13830</v>
      </c>
      <c r="D43" s="80">
        <f>SUM(E43:F43)</f>
        <v>13830</v>
      </c>
      <c r="E43" s="81">
        <v>3069</v>
      </c>
      <c r="F43" s="82">
        <v>10761</v>
      </c>
      <c r="G43" s="83" t="s">
        <v>32</v>
      </c>
      <c r="H43" s="80">
        <f>SUM(I43:J43)</f>
        <v>2200</v>
      </c>
      <c r="I43" s="81">
        <v>1971</v>
      </c>
      <c r="J43" s="82">
        <v>229</v>
      </c>
      <c r="K43" s="84"/>
      <c r="L43" s="80">
        <f>SUM(M43:N43)</f>
        <v>144</v>
      </c>
      <c r="M43" s="81">
        <v>46</v>
      </c>
      <c r="N43" s="82">
        <v>98</v>
      </c>
    </row>
    <row r="44" spans="2:14" s="71" customFormat="1" ht="18" customHeight="1">
      <c r="B44" s="79" t="s">
        <v>49</v>
      </c>
      <c r="C44" s="80">
        <f>SUM(E44:G44)</f>
        <v>11405</v>
      </c>
      <c r="D44" s="80">
        <v>11405</v>
      </c>
      <c r="E44" s="81">
        <v>2679</v>
      </c>
      <c r="F44" s="82">
        <v>8726</v>
      </c>
      <c r="G44" s="83" t="s">
        <v>32</v>
      </c>
      <c r="H44" s="80">
        <f>SUM(I44:J44)</f>
        <v>1836</v>
      </c>
      <c r="I44" s="81">
        <v>1671</v>
      </c>
      <c r="J44" s="82">
        <v>165</v>
      </c>
      <c r="K44" s="84"/>
      <c r="L44" s="80">
        <f>SUM(M44:N44)</f>
        <v>140</v>
      </c>
      <c r="M44" s="81">
        <v>45</v>
      </c>
      <c r="N44" s="82">
        <v>95</v>
      </c>
    </row>
    <row r="45" spans="2:14" s="71" customFormat="1" ht="18" customHeight="1">
      <c r="B45" s="79" t="s">
        <v>50</v>
      </c>
      <c r="C45" s="80">
        <f>SUM(E45:G45)</f>
        <v>9860</v>
      </c>
      <c r="D45" s="80">
        <v>9860</v>
      </c>
      <c r="E45" s="81">
        <v>2385</v>
      </c>
      <c r="F45" s="82">
        <v>7475</v>
      </c>
      <c r="G45" s="83" t="s">
        <v>32</v>
      </c>
      <c r="H45" s="80">
        <f>SUM(I45:J45)</f>
        <v>1652</v>
      </c>
      <c r="I45" s="81">
        <v>1525</v>
      </c>
      <c r="J45" s="82">
        <v>127</v>
      </c>
      <c r="K45" s="84"/>
      <c r="L45" s="80">
        <f>SUM(M45:N45)</f>
        <v>132</v>
      </c>
      <c r="M45" s="81">
        <v>44</v>
      </c>
      <c r="N45" s="82">
        <v>88</v>
      </c>
    </row>
    <row r="46" spans="2:14" s="71" customFormat="1" ht="18" customHeight="1">
      <c r="B46" s="79" t="s">
        <v>51</v>
      </c>
      <c r="C46" s="80">
        <f>SUM(E46:G46)</f>
        <v>8650</v>
      </c>
      <c r="D46" s="80">
        <v>8650</v>
      </c>
      <c r="E46" s="81">
        <v>2221</v>
      </c>
      <c r="F46" s="82">
        <v>6429</v>
      </c>
      <c r="G46" s="83" t="s">
        <v>32</v>
      </c>
      <c r="H46" s="80">
        <f>SUM(I46:J46)</f>
        <v>1481</v>
      </c>
      <c r="I46" s="81">
        <v>1375</v>
      </c>
      <c r="J46" s="82">
        <v>106</v>
      </c>
      <c r="K46" s="84"/>
      <c r="L46" s="80">
        <f>SUM(M46:N46)</f>
        <v>135</v>
      </c>
      <c r="M46" s="81">
        <v>44</v>
      </c>
      <c r="N46" s="82">
        <v>91</v>
      </c>
    </row>
    <row r="47" spans="2:14" s="59" customFormat="1" ht="15" customHeight="1">
      <c r="B47" s="85" t="s">
        <v>52</v>
      </c>
      <c r="E47" s="86"/>
      <c r="F47" s="86"/>
      <c r="G47" s="86"/>
      <c r="H47" s="86"/>
      <c r="I47" s="86"/>
      <c r="J47" s="86"/>
      <c r="K47" s="86"/>
      <c r="L47" s="86"/>
      <c r="M47" s="86"/>
      <c r="N47" s="87" t="s">
        <v>53</v>
      </c>
    </row>
    <row r="48" spans="2:14" s="85" customFormat="1" ht="15" customHeight="1">
      <c r="J48" s="88"/>
      <c r="K48" s="88"/>
      <c r="N48" s="87" t="s">
        <v>54</v>
      </c>
    </row>
    <row r="49" spans="10:11">
      <c r="J49" s="88"/>
      <c r="K49" s="88"/>
    </row>
    <row r="50" spans="10:11">
      <c r="J50" s="88"/>
      <c r="K50" s="88"/>
    </row>
    <row r="51" spans="10:11">
      <c r="J51" s="88"/>
      <c r="K51" s="88"/>
    </row>
    <row r="52" spans="10:11">
      <c r="J52" s="88"/>
      <c r="K52" s="88"/>
    </row>
    <row r="53" spans="10:11">
      <c r="J53" s="88"/>
      <c r="K53" s="88"/>
    </row>
  </sheetData>
  <mergeCells count="6">
    <mergeCell ref="C3:G3"/>
    <mergeCell ref="H3:J4"/>
    <mergeCell ref="K3:K5"/>
    <mergeCell ref="L3:N4"/>
    <mergeCell ref="D4:F4"/>
    <mergeCell ref="G4:G5"/>
  </mergeCells>
  <phoneticPr fontId="1"/>
  <pageMargins left="0.59055118110236227" right="0.59055118110236227" top="0.78740157480314965" bottom="0.39370078740157483" header="0.39370078740157483" footer="0.39370078740157483"/>
  <pageSetup paperSize="9" scale="96" orientation="portrait" r:id="rId1"/>
  <headerFooter alignWithMargins="0">
    <oddHeader>&amp;R15.交通・通信</oddHeader>
    <oddFooter>&amp;C-110-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zoomScaleNormal="100" workbookViewId="0"/>
  </sheetViews>
  <sheetFormatPr defaultRowHeight="13.5"/>
  <cols>
    <col min="1" max="1" width="3.625" style="46" customWidth="1"/>
    <col min="2" max="2" width="13.625" style="43" customWidth="1"/>
    <col min="3" max="3" width="15.625" style="46" customWidth="1"/>
    <col min="4" max="4" width="14.625" style="46" customWidth="1"/>
    <col min="5" max="7" width="12.625" style="46" customWidth="1"/>
    <col min="8" max="256" width="9" style="46"/>
    <col min="257" max="257" width="3.625" style="46" customWidth="1"/>
    <col min="258" max="258" width="13.625" style="46" customWidth="1"/>
    <col min="259" max="259" width="15.625" style="46" customWidth="1"/>
    <col min="260" max="260" width="14.625" style="46" customWidth="1"/>
    <col min="261" max="263" width="12.625" style="46" customWidth="1"/>
    <col min="264" max="512" width="9" style="46"/>
    <col min="513" max="513" width="3.625" style="46" customWidth="1"/>
    <col min="514" max="514" width="13.625" style="46" customWidth="1"/>
    <col min="515" max="515" width="15.625" style="46" customWidth="1"/>
    <col min="516" max="516" width="14.625" style="46" customWidth="1"/>
    <col min="517" max="519" width="12.625" style="46" customWidth="1"/>
    <col min="520" max="768" width="9" style="46"/>
    <col min="769" max="769" width="3.625" style="46" customWidth="1"/>
    <col min="770" max="770" width="13.625" style="46" customWidth="1"/>
    <col min="771" max="771" width="15.625" style="46" customWidth="1"/>
    <col min="772" max="772" width="14.625" style="46" customWidth="1"/>
    <col min="773" max="775" width="12.625" style="46" customWidth="1"/>
    <col min="776" max="1024" width="9" style="46"/>
    <col min="1025" max="1025" width="3.625" style="46" customWidth="1"/>
    <col min="1026" max="1026" width="13.625" style="46" customWidth="1"/>
    <col min="1027" max="1027" width="15.625" style="46" customWidth="1"/>
    <col min="1028" max="1028" width="14.625" style="46" customWidth="1"/>
    <col min="1029" max="1031" width="12.625" style="46" customWidth="1"/>
    <col min="1032" max="1280" width="9" style="46"/>
    <col min="1281" max="1281" width="3.625" style="46" customWidth="1"/>
    <col min="1282" max="1282" width="13.625" style="46" customWidth="1"/>
    <col min="1283" max="1283" width="15.625" style="46" customWidth="1"/>
    <col min="1284" max="1284" width="14.625" style="46" customWidth="1"/>
    <col min="1285" max="1287" width="12.625" style="46" customWidth="1"/>
    <col min="1288" max="1536" width="9" style="46"/>
    <col min="1537" max="1537" width="3.625" style="46" customWidth="1"/>
    <col min="1538" max="1538" width="13.625" style="46" customWidth="1"/>
    <col min="1539" max="1539" width="15.625" style="46" customWidth="1"/>
    <col min="1540" max="1540" width="14.625" style="46" customWidth="1"/>
    <col min="1541" max="1543" width="12.625" style="46" customWidth="1"/>
    <col min="1544" max="1792" width="9" style="46"/>
    <col min="1793" max="1793" width="3.625" style="46" customWidth="1"/>
    <col min="1794" max="1794" width="13.625" style="46" customWidth="1"/>
    <col min="1795" max="1795" width="15.625" style="46" customWidth="1"/>
    <col min="1796" max="1796" width="14.625" style="46" customWidth="1"/>
    <col min="1797" max="1799" width="12.625" style="46" customWidth="1"/>
    <col min="1800" max="2048" width="9" style="46"/>
    <col min="2049" max="2049" width="3.625" style="46" customWidth="1"/>
    <col min="2050" max="2050" width="13.625" style="46" customWidth="1"/>
    <col min="2051" max="2051" width="15.625" style="46" customWidth="1"/>
    <col min="2052" max="2052" width="14.625" style="46" customWidth="1"/>
    <col min="2053" max="2055" width="12.625" style="46" customWidth="1"/>
    <col min="2056" max="2304" width="9" style="46"/>
    <col min="2305" max="2305" width="3.625" style="46" customWidth="1"/>
    <col min="2306" max="2306" width="13.625" style="46" customWidth="1"/>
    <col min="2307" max="2307" width="15.625" style="46" customWidth="1"/>
    <col min="2308" max="2308" width="14.625" style="46" customWidth="1"/>
    <col min="2309" max="2311" width="12.625" style="46" customWidth="1"/>
    <col min="2312" max="2560" width="9" style="46"/>
    <col min="2561" max="2561" width="3.625" style="46" customWidth="1"/>
    <col min="2562" max="2562" width="13.625" style="46" customWidth="1"/>
    <col min="2563" max="2563" width="15.625" style="46" customWidth="1"/>
    <col min="2564" max="2564" width="14.625" style="46" customWidth="1"/>
    <col min="2565" max="2567" width="12.625" style="46" customWidth="1"/>
    <col min="2568" max="2816" width="9" style="46"/>
    <col min="2817" max="2817" width="3.625" style="46" customWidth="1"/>
    <col min="2818" max="2818" width="13.625" style="46" customWidth="1"/>
    <col min="2819" max="2819" width="15.625" style="46" customWidth="1"/>
    <col min="2820" max="2820" width="14.625" style="46" customWidth="1"/>
    <col min="2821" max="2823" width="12.625" style="46" customWidth="1"/>
    <col min="2824" max="3072" width="9" style="46"/>
    <col min="3073" max="3073" width="3.625" style="46" customWidth="1"/>
    <col min="3074" max="3074" width="13.625" style="46" customWidth="1"/>
    <col min="3075" max="3075" width="15.625" style="46" customWidth="1"/>
    <col min="3076" max="3076" width="14.625" style="46" customWidth="1"/>
    <col min="3077" max="3079" width="12.625" style="46" customWidth="1"/>
    <col min="3080" max="3328" width="9" style="46"/>
    <col min="3329" max="3329" width="3.625" style="46" customWidth="1"/>
    <col min="3330" max="3330" width="13.625" style="46" customWidth="1"/>
    <col min="3331" max="3331" width="15.625" style="46" customWidth="1"/>
    <col min="3332" max="3332" width="14.625" style="46" customWidth="1"/>
    <col min="3333" max="3335" width="12.625" style="46" customWidth="1"/>
    <col min="3336" max="3584" width="9" style="46"/>
    <col min="3585" max="3585" width="3.625" style="46" customWidth="1"/>
    <col min="3586" max="3586" width="13.625" style="46" customWidth="1"/>
    <col min="3587" max="3587" width="15.625" style="46" customWidth="1"/>
    <col min="3588" max="3588" width="14.625" style="46" customWidth="1"/>
    <col min="3589" max="3591" width="12.625" style="46" customWidth="1"/>
    <col min="3592" max="3840" width="9" style="46"/>
    <col min="3841" max="3841" width="3.625" style="46" customWidth="1"/>
    <col min="3842" max="3842" width="13.625" style="46" customWidth="1"/>
    <col min="3843" max="3843" width="15.625" style="46" customWidth="1"/>
    <col min="3844" max="3844" width="14.625" style="46" customWidth="1"/>
    <col min="3845" max="3847" width="12.625" style="46" customWidth="1"/>
    <col min="3848" max="4096" width="9" style="46"/>
    <col min="4097" max="4097" width="3.625" style="46" customWidth="1"/>
    <col min="4098" max="4098" width="13.625" style="46" customWidth="1"/>
    <col min="4099" max="4099" width="15.625" style="46" customWidth="1"/>
    <col min="4100" max="4100" width="14.625" style="46" customWidth="1"/>
    <col min="4101" max="4103" width="12.625" style="46" customWidth="1"/>
    <col min="4104" max="4352" width="9" style="46"/>
    <col min="4353" max="4353" width="3.625" style="46" customWidth="1"/>
    <col min="4354" max="4354" width="13.625" style="46" customWidth="1"/>
    <col min="4355" max="4355" width="15.625" style="46" customWidth="1"/>
    <col min="4356" max="4356" width="14.625" style="46" customWidth="1"/>
    <col min="4357" max="4359" width="12.625" style="46" customWidth="1"/>
    <col min="4360" max="4608" width="9" style="46"/>
    <col min="4609" max="4609" width="3.625" style="46" customWidth="1"/>
    <col min="4610" max="4610" width="13.625" style="46" customWidth="1"/>
    <col min="4611" max="4611" width="15.625" style="46" customWidth="1"/>
    <col min="4612" max="4612" width="14.625" style="46" customWidth="1"/>
    <col min="4613" max="4615" width="12.625" style="46" customWidth="1"/>
    <col min="4616" max="4864" width="9" style="46"/>
    <col min="4865" max="4865" width="3.625" style="46" customWidth="1"/>
    <col min="4866" max="4866" width="13.625" style="46" customWidth="1"/>
    <col min="4867" max="4867" width="15.625" style="46" customWidth="1"/>
    <col min="4868" max="4868" width="14.625" style="46" customWidth="1"/>
    <col min="4869" max="4871" width="12.625" style="46" customWidth="1"/>
    <col min="4872" max="5120" width="9" style="46"/>
    <col min="5121" max="5121" width="3.625" style="46" customWidth="1"/>
    <col min="5122" max="5122" width="13.625" style="46" customWidth="1"/>
    <col min="5123" max="5123" width="15.625" style="46" customWidth="1"/>
    <col min="5124" max="5124" width="14.625" style="46" customWidth="1"/>
    <col min="5125" max="5127" width="12.625" style="46" customWidth="1"/>
    <col min="5128" max="5376" width="9" style="46"/>
    <col min="5377" max="5377" width="3.625" style="46" customWidth="1"/>
    <col min="5378" max="5378" width="13.625" style="46" customWidth="1"/>
    <col min="5379" max="5379" width="15.625" style="46" customWidth="1"/>
    <col min="5380" max="5380" width="14.625" style="46" customWidth="1"/>
    <col min="5381" max="5383" width="12.625" style="46" customWidth="1"/>
    <col min="5384" max="5632" width="9" style="46"/>
    <col min="5633" max="5633" width="3.625" style="46" customWidth="1"/>
    <col min="5634" max="5634" width="13.625" style="46" customWidth="1"/>
    <col min="5635" max="5635" width="15.625" style="46" customWidth="1"/>
    <col min="5636" max="5636" width="14.625" style="46" customWidth="1"/>
    <col min="5637" max="5639" width="12.625" style="46" customWidth="1"/>
    <col min="5640" max="5888" width="9" style="46"/>
    <col min="5889" max="5889" width="3.625" style="46" customWidth="1"/>
    <col min="5890" max="5890" width="13.625" style="46" customWidth="1"/>
    <col min="5891" max="5891" width="15.625" style="46" customWidth="1"/>
    <col min="5892" max="5892" width="14.625" style="46" customWidth="1"/>
    <col min="5893" max="5895" width="12.625" style="46" customWidth="1"/>
    <col min="5896" max="6144" width="9" style="46"/>
    <col min="6145" max="6145" width="3.625" style="46" customWidth="1"/>
    <col min="6146" max="6146" width="13.625" style="46" customWidth="1"/>
    <col min="6147" max="6147" width="15.625" style="46" customWidth="1"/>
    <col min="6148" max="6148" width="14.625" style="46" customWidth="1"/>
    <col min="6149" max="6151" width="12.625" style="46" customWidth="1"/>
    <col min="6152" max="6400" width="9" style="46"/>
    <col min="6401" max="6401" width="3.625" style="46" customWidth="1"/>
    <col min="6402" max="6402" width="13.625" style="46" customWidth="1"/>
    <col min="6403" max="6403" width="15.625" style="46" customWidth="1"/>
    <col min="6404" max="6404" width="14.625" style="46" customWidth="1"/>
    <col min="6405" max="6407" width="12.625" style="46" customWidth="1"/>
    <col min="6408" max="6656" width="9" style="46"/>
    <col min="6657" max="6657" width="3.625" style="46" customWidth="1"/>
    <col min="6658" max="6658" width="13.625" style="46" customWidth="1"/>
    <col min="6659" max="6659" width="15.625" style="46" customWidth="1"/>
    <col min="6660" max="6660" width="14.625" style="46" customWidth="1"/>
    <col min="6661" max="6663" width="12.625" style="46" customWidth="1"/>
    <col min="6664" max="6912" width="9" style="46"/>
    <col min="6913" max="6913" width="3.625" style="46" customWidth="1"/>
    <col min="6914" max="6914" width="13.625" style="46" customWidth="1"/>
    <col min="6915" max="6915" width="15.625" style="46" customWidth="1"/>
    <col min="6916" max="6916" width="14.625" style="46" customWidth="1"/>
    <col min="6917" max="6919" width="12.625" style="46" customWidth="1"/>
    <col min="6920" max="7168" width="9" style="46"/>
    <col min="7169" max="7169" width="3.625" style="46" customWidth="1"/>
    <col min="7170" max="7170" width="13.625" style="46" customWidth="1"/>
    <col min="7171" max="7171" width="15.625" style="46" customWidth="1"/>
    <col min="7172" max="7172" width="14.625" style="46" customWidth="1"/>
    <col min="7173" max="7175" width="12.625" style="46" customWidth="1"/>
    <col min="7176" max="7424" width="9" style="46"/>
    <col min="7425" max="7425" width="3.625" style="46" customWidth="1"/>
    <col min="7426" max="7426" width="13.625" style="46" customWidth="1"/>
    <col min="7427" max="7427" width="15.625" style="46" customWidth="1"/>
    <col min="7428" max="7428" width="14.625" style="46" customWidth="1"/>
    <col min="7429" max="7431" width="12.625" style="46" customWidth="1"/>
    <col min="7432" max="7680" width="9" style="46"/>
    <col min="7681" max="7681" width="3.625" style="46" customWidth="1"/>
    <col min="7682" max="7682" width="13.625" style="46" customWidth="1"/>
    <col min="7683" max="7683" width="15.625" style="46" customWidth="1"/>
    <col min="7684" max="7684" width="14.625" style="46" customWidth="1"/>
    <col min="7685" max="7687" width="12.625" style="46" customWidth="1"/>
    <col min="7688" max="7936" width="9" style="46"/>
    <col min="7937" max="7937" width="3.625" style="46" customWidth="1"/>
    <col min="7938" max="7938" width="13.625" style="46" customWidth="1"/>
    <col min="7939" max="7939" width="15.625" style="46" customWidth="1"/>
    <col min="7940" max="7940" width="14.625" style="46" customWidth="1"/>
    <col min="7941" max="7943" width="12.625" style="46" customWidth="1"/>
    <col min="7944" max="8192" width="9" style="46"/>
    <col min="8193" max="8193" width="3.625" style="46" customWidth="1"/>
    <col min="8194" max="8194" width="13.625" style="46" customWidth="1"/>
    <col min="8195" max="8195" width="15.625" style="46" customWidth="1"/>
    <col min="8196" max="8196" width="14.625" style="46" customWidth="1"/>
    <col min="8197" max="8199" width="12.625" style="46" customWidth="1"/>
    <col min="8200" max="8448" width="9" style="46"/>
    <col min="8449" max="8449" width="3.625" style="46" customWidth="1"/>
    <col min="8450" max="8450" width="13.625" style="46" customWidth="1"/>
    <col min="8451" max="8451" width="15.625" style="46" customWidth="1"/>
    <col min="8452" max="8452" width="14.625" style="46" customWidth="1"/>
    <col min="8453" max="8455" width="12.625" style="46" customWidth="1"/>
    <col min="8456" max="8704" width="9" style="46"/>
    <col min="8705" max="8705" width="3.625" style="46" customWidth="1"/>
    <col min="8706" max="8706" width="13.625" style="46" customWidth="1"/>
    <col min="8707" max="8707" width="15.625" style="46" customWidth="1"/>
    <col min="8708" max="8708" width="14.625" style="46" customWidth="1"/>
    <col min="8709" max="8711" width="12.625" style="46" customWidth="1"/>
    <col min="8712" max="8960" width="9" style="46"/>
    <col min="8961" max="8961" width="3.625" style="46" customWidth="1"/>
    <col min="8962" max="8962" width="13.625" style="46" customWidth="1"/>
    <col min="8963" max="8963" width="15.625" style="46" customWidth="1"/>
    <col min="8964" max="8964" width="14.625" style="46" customWidth="1"/>
    <col min="8965" max="8967" width="12.625" style="46" customWidth="1"/>
    <col min="8968" max="9216" width="9" style="46"/>
    <col min="9217" max="9217" width="3.625" style="46" customWidth="1"/>
    <col min="9218" max="9218" width="13.625" style="46" customWidth="1"/>
    <col min="9219" max="9219" width="15.625" style="46" customWidth="1"/>
    <col min="9220" max="9220" width="14.625" style="46" customWidth="1"/>
    <col min="9221" max="9223" width="12.625" style="46" customWidth="1"/>
    <col min="9224" max="9472" width="9" style="46"/>
    <col min="9473" max="9473" width="3.625" style="46" customWidth="1"/>
    <col min="9474" max="9474" width="13.625" style="46" customWidth="1"/>
    <col min="9475" max="9475" width="15.625" style="46" customWidth="1"/>
    <col min="9476" max="9476" width="14.625" style="46" customWidth="1"/>
    <col min="9477" max="9479" width="12.625" style="46" customWidth="1"/>
    <col min="9480" max="9728" width="9" style="46"/>
    <col min="9729" max="9729" width="3.625" style="46" customWidth="1"/>
    <col min="9730" max="9730" width="13.625" style="46" customWidth="1"/>
    <col min="9731" max="9731" width="15.625" style="46" customWidth="1"/>
    <col min="9732" max="9732" width="14.625" style="46" customWidth="1"/>
    <col min="9733" max="9735" width="12.625" style="46" customWidth="1"/>
    <col min="9736" max="9984" width="9" style="46"/>
    <col min="9985" max="9985" width="3.625" style="46" customWidth="1"/>
    <col min="9986" max="9986" width="13.625" style="46" customWidth="1"/>
    <col min="9987" max="9987" width="15.625" style="46" customWidth="1"/>
    <col min="9988" max="9988" width="14.625" style="46" customWidth="1"/>
    <col min="9989" max="9991" width="12.625" style="46" customWidth="1"/>
    <col min="9992" max="10240" width="9" style="46"/>
    <col min="10241" max="10241" width="3.625" style="46" customWidth="1"/>
    <col min="10242" max="10242" width="13.625" style="46" customWidth="1"/>
    <col min="10243" max="10243" width="15.625" style="46" customWidth="1"/>
    <col min="10244" max="10244" width="14.625" style="46" customWidth="1"/>
    <col min="10245" max="10247" width="12.625" style="46" customWidth="1"/>
    <col min="10248" max="10496" width="9" style="46"/>
    <col min="10497" max="10497" width="3.625" style="46" customWidth="1"/>
    <col min="10498" max="10498" width="13.625" style="46" customWidth="1"/>
    <col min="10499" max="10499" width="15.625" style="46" customWidth="1"/>
    <col min="10500" max="10500" width="14.625" style="46" customWidth="1"/>
    <col min="10501" max="10503" width="12.625" style="46" customWidth="1"/>
    <col min="10504" max="10752" width="9" style="46"/>
    <col min="10753" max="10753" width="3.625" style="46" customWidth="1"/>
    <col min="10754" max="10754" width="13.625" style="46" customWidth="1"/>
    <col min="10755" max="10755" width="15.625" style="46" customWidth="1"/>
    <col min="10756" max="10756" width="14.625" style="46" customWidth="1"/>
    <col min="10757" max="10759" width="12.625" style="46" customWidth="1"/>
    <col min="10760" max="11008" width="9" style="46"/>
    <col min="11009" max="11009" width="3.625" style="46" customWidth="1"/>
    <col min="11010" max="11010" width="13.625" style="46" customWidth="1"/>
    <col min="11011" max="11011" width="15.625" style="46" customWidth="1"/>
    <col min="11012" max="11012" width="14.625" style="46" customWidth="1"/>
    <col min="11013" max="11015" width="12.625" style="46" customWidth="1"/>
    <col min="11016" max="11264" width="9" style="46"/>
    <col min="11265" max="11265" width="3.625" style="46" customWidth="1"/>
    <col min="11266" max="11266" width="13.625" style="46" customWidth="1"/>
    <col min="11267" max="11267" width="15.625" style="46" customWidth="1"/>
    <col min="11268" max="11268" width="14.625" style="46" customWidth="1"/>
    <col min="11269" max="11271" width="12.625" style="46" customWidth="1"/>
    <col min="11272" max="11520" width="9" style="46"/>
    <col min="11521" max="11521" width="3.625" style="46" customWidth="1"/>
    <col min="11522" max="11522" width="13.625" style="46" customWidth="1"/>
    <col min="11523" max="11523" width="15.625" style="46" customWidth="1"/>
    <col min="11524" max="11524" width="14.625" style="46" customWidth="1"/>
    <col min="11525" max="11527" width="12.625" style="46" customWidth="1"/>
    <col min="11528" max="11776" width="9" style="46"/>
    <col min="11777" max="11777" width="3.625" style="46" customWidth="1"/>
    <col min="11778" max="11778" width="13.625" style="46" customWidth="1"/>
    <col min="11779" max="11779" width="15.625" style="46" customWidth="1"/>
    <col min="11780" max="11780" width="14.625" style="46" customWidth="1"/>
    <col min="11781" max="11783" width="12.625" style="46" customWidth="1"/>
    <col min="11784" max="12032" width="9" style="46"/>
    <col min="12033" max="12033" width="3.625" style="46" customWidth="1"/>
    <col min="12034" max="12034" width="13.625" style="46" customWidth="1"/>
    <col min="12035" max="12035" width="15.625" style="46" customWidth="1"/>
    <col min="12036" max="12036" width="14.625" style="46" customWidth="1"/>
    <col min="12037" max="12039" width="12.625" style="46" customWidth="1"/>
    <col min="12040" max="12288" width="9" style="46"/>
    <col min="12289" max="12289" width="3.625" style="46" customWidth="1"/>
    <col min="12290" max="12290" width="13.625" style="46" customWidth="1"/>
    <col min="12291" max="12291" width="15.625" style="46" customWidth="1"/>
    <col min="12292" max="12292" width="14.625" style="46" customWidth="1"/>
    <col min="12293" max="12295" width="12.625" style="46" customWidth="1"/>
    <col min="12296" max="12544" width="9" style="46"/>
    <col min="12545" max="12545" width="3.625" style="46" customWidth="1"/>
    <col min="12546" max="12546" width="13.625" style="46" customWidth="1"/>
    <col min="12547" max="12547" width="15.625" style="46" customWidth="1"/>
    <col min="12548" max="12548" width="14.625" style="46" customWidth="1"/>
    <col min="12549" max="12551" width="12.625" style="46" customWidth="1"/>
    <col min="12552" max="12800" width="9" style="46"/>
    <col min="12801" max="12801" width="3.625" style="46" customWidth="1"/>
    <col min="12802" max="12802" width="13.625" style="46" customWidth="1"/>
    <col min="12803" max="12803" width="15.625" style="46" customWidth="1"/>
    <col min="12804" max="12804" width="14.625" style="46" customWidth="1"/>
    <col min="12805" max="12807" width="12.625" style="46" customWidth="1"/>
    <col min="12808" max="13056" width="9" style="46"/>
    <col min="13057" max="13057" width="3.625" style="46" customWidth="1"/>
    <col min="13058" max="13058" width="13.625" style="46" customWidth="1"/>
    <col min="13059" max="13059" width="15.625" style="46" customWidth="1"/>
    <col min="13060" max="13060" width="14.625" style="46" customWidth="1"/>
    <col min="13061" max="13063" width="12.625" style="46" customWidth="1"/>
    <col min="13064" max="13312" width="9" style="46"/>
    <col min="13313" max="13313" width="3.625" style="46" customWidth="1"/>
    <col min="13314" max="13314" width="13.625" style="46" customWidth="1"/>
    <col min="13315" max="13315" width="15.625" style="46" customWidth="1"/>
    <col min="13316" max="13316" width="14.625" style="46" customWidth="1"/>
    <col min="13317" max="13319" width="12.625" style="46" customWidth="1"/>
    <col min="13320" max="13568" width="9" style="46"/>
    <col min="13569" max="13569" width="3.625" style="46" customWidth="1"/>
    <col min="13570" max="13570" width="13.625" style="46" customWidth="1"/>
    <col min="13571" max="13571" width="15.625" style="46" customWidth="1"/>
    <col min="13572" max="13572" width="14.625" style="46" customWidth="1"/>
    <col min="13573" max="13575" width="12.625" style="46" customWidth="1"/>
    <col min="13576" max="13824" width="9" style="46"/>
    <col min="13825" max="13825" width="3.625" style="46" customWidth="1"/>
    <col min="13826" max="13826" width="13.625" style="46" customWidth="1"/>
    <col min="13827" max="13827" width="15.625" style="46" customWidth="1"/>
    <col min="13828" max="13828" width="14.625" style="46" customWidth="1"/>
    <col min="13829" max="13831" width="12.625" style="46" customWidth="1"/>
    <col min="13832" max="14080" width="9" style="46"/>
    <col min="14081" max="14081" width="3.625" style="46" customWidth="1"/>
    <col min="14082" max="14082" width="13.625" style="46" customWidth="1"/>
    <col min="14083" max="14083" width="15.625" style="46" customWidth="1"/>
    <col min="14084" max="14084" width="14.625" style="46" customWidth="1"/>
    <col min="14085" max="14087" width="12.625" style="46" customWidth="1"/>
    <col min="14088" max="14336" width="9" style="46"/>
    <col min="14337" max="14337" width="3.625" style="46" customWidth="1"/>
    <col min="14338" max="14338" width="13.625" style="46" customWidth="1"/>
    <col min="14339" max="14339" width="15.625" style="46" customWidth="1"/>
    <col min="14340" max="14340" width="14.625" style="46" customWidth="1"/>
    <col min="14341" max="14343" width="12.625" style="46" customWidth="1"/>
    <col min="14344" max="14592" width="9" style="46"/>
    <col min="14593" max="14593" width="3.625" style="46" customWidth="1"/>
    <col min="14594" max="14594" width="13.625" style="46" customWidth="1"/>
    <col min="14595" max="14595" width="15.625" style="46" customWidth="1"/>
    <col min="14596" max="14596" width="14.625" style="46" customWidth="1"/>
    <col min="14597" max="14599" width="12.625" style="46" customWidth="1"/>
    <col min="14600" max="14848" width="9" style="46"/>
    <col min="14849" max="14849" width="3.625" style="46" customWidth="1"/>
    <col min="14850" max="14850" width="13.625" style="46" customWidth="1"/>
    <col min="14851" max="14851" width="15.625" style="46" customWidth="1"/>
    <col min="14852" max="14852" width="14.625" style="46" customWidth="1"/>
    <col min="14853" max="14855" width="12.625" style="46" customWidth="1"/>
    <col min="14856" max="15104" width="9" style="46"/>
    <col min="15105" max="15105" width="3.625" style="46" customWidth="1"/>
    <col min="15106" max="15106" width="13.625" style="46" customWidth="1"/>
    <col min="15107" max="15107" width="15.625" style="46" customWidth="1"/>
    <col min="15108" max="15108" width="14.625" style="46" customWidth="1"/>
    <col min="15109" max="15111" width="12.625" style="46" customWidth="1"/>
    <col min="15112" max="15360" width="9" style="46"/>
    <col min="15361" max="15361" width="3.625" style="46" customWidth="1"/>
    <col min="15362" max="15362" width="13.625" style="46" customWidth="1"/>
    <col min="15363" max="15363" width="15.625" style="46" customWidth="1"/>
    <col min="15364" max="15364" width="14.625" style="46" customWidth="1"/>
    <col min="15365" max="15367" width="12.625" style="46" customWidth="1"/>
    <col min="15368" max="15616" width="9" style="46"/>
    <col min="15617" max="15617" width="3.625" style="46" customWidth="1"/>
    <col min="15618" max="15618" width="13.625" style="46" customWidth="1"/>
    <col min="15619" max="15619" width="15.625" style="46" customWidth="1"/>
    <col min="15620" max="15620" width="14.625" style="46" customWidth="1"/>
    <col min="15621" max="15623" width="12.625" style="46" customWidth="1"/>
    <col min="15624" max="15872" width="9" style="46"/>
    <col min="15873" max="15873" width="3.625" style="46" customWidth="1"/>
    <col min="15874" max="15874" width="13.625" style="46" customWidth="1"/>
    <col min="15875" max="15875" width="15.625" style="46" customWidth="1"/>
    <col min="15876" max="15876" width="14.625" style="46" customWidth="1"/>
    <col min="15877" max="15879" width="12.625" style="46" customWidth="1"/>
    <col min="15880" max="16128" width="9" style="46"/>
    <col min="16129" max="16129" width="3.625" style="46" customWidth="1"/>
    <col min="16130" max="16130" width="13.625" style="46" customWidth="1"/>
    <col min="16131" max="16131" width="15.625" style="46" customWidth="1"/>
    <col min="16132" max="16132" width="14.625" style="46" customWidth="1"/>
    <col min="16133" max="16135" width="12.625" style="46" customWidth="1"/>
    <col min="16136" max="16384" width="9" style="46"/>
  </cols>
  <sheetData>
    <row r="1" spans="1:7" s="4" customFormat="1" ht="30" customHeight="1">
      <c r="A1" s="1" t="s">
        <v>0</v>
      </c>
      <c r="B1" s="2"/>
      <c r="C1" s="3"/>
      <c r="D1" s="3"/>
      <c r="E1" s="3"/>
      <c r="F1" s="3"/>
      <c r="G1" s="3"/>
    </row>
    <row r="2" spans="1:7" s="4" customFormat="1" ht="18" customHeight="1">
      <c r="B2" s="4" t="s">
        <v>1</v>
      </c>
      <c r="C2" s="5"/>
      <c r="D2" s="5"/>
      <c r="E2" s="5"/>
      <c r="F2" s="5"/>
      <c r="G2" s="5"/>
    </row>
    <row r="3" spans="1:7" s="4" customFormat="1" ht="18" customHeight="1">
      <c r="B3" s="502" t="s">
        <v>2</v>
      </c>
      <c r="C3" s="6" t="s">
        <v>470</v>
      </c>
      <c r="D3" s="645" t="s">
        <v>3</v>
      </c>
      <c r="E3" s="646"/>
      <c r="F3" s="647"/>
      <c r="G3" s="7" t="s">
        <v>4</v>
      </c>
    </row>
    <row r="4" spans="1:7" s="4" customFormat="1" ht="18" customHeight="1">
      <c r="B4" s="503"/>
      <c r="C4" s="8"/>
      <c r="D4" s="9"/>
      <c r="E4" s="10" t="s">
        <v>5</v>
      </c>
      <c r="F4" s="11" t="s">
        <v>6</v>
      </c>
      <c r="G4" s="12" t="s">
        <v>471</v>
      </c>
    </row>
    <row r="5" spans="1:7" s="13" customFormat="1" ht="15" hidden="1" customHeight="1">
      <c r="B5" s="14" t="s">
        <v>7</v>
      </c>
      <c r="C5" s="15">
        <f>SUM(C6:C9)</f>
        <v>6466</v>
      </c>
      <c r="D5" s="16">
        <f>SUM(D6:D9)</f>
        <v>2313</v>
      </c>
      <c r="E5" s="17"/>
      <c r="F5" s="18"/>
      <c r="G5" s="19">
        <f t="shared" ref="G5:G68" si="0">ROUND(D5/C5*100,1)</f>
        <v>35.799999999999997</v>
      </c>
    </row>
    <row r="6" spans="1:7" s="13" customFormat="1" ht="15" hidden="1" customHeight="1">
      <c r="B6" s="20" t="s">
        <v>8</v>
      </c>
      <c r="C6" s="21" t="s">
        <v>9</v>
      </c>
      <c r="D6" s="22" t="s">
        <v>9</v>
      </c>
      <c r="E6" s="23" t="s">
        <v>10</v>
      </c>
      <c r="F6" s="24" t="s">
        <v>10</v>
      </c>
      <c r="G6" s="25" t="s">
        <v>9</v>
      </c>
    </row>
    <row r="7" spans="1:7" s="13" customFormat="1" ht="15" hidden="1" customHeight="1">
      <c r="B7" s="20" t="s">
        <v>11</v>
      </c>
      <c r="C7" s="26">
        <v>3373</v>
      </c>
      <c r="D7" s="27">
        <v>1315</v>
      </c>
      <c r="E7" s="28">
        <v>1306</v>
      </c>
      <c r="F7" s="29">
        <v>523</v>
      </c>
      <c r="G7" s="30">
        <f t="shared" si="0"/>
        <v>39</v>
      </c>
    </row>
    <row r="8" spans="1:7" s="13" customFormat="1" ht="15" hidden="1" customHeight="1">
      <c r="B8" s="20" t="s">
        <v>12</v>
      </c>
      <c r="C8" s="26">
        <v>3093</v>
      </c>
      <c r="D8" s="27">
        <v>998</v>
      </c>
      <c r="E8" s="28">
        <v>981</v>
      </c>
      <c r="F8" s="29">
        <v>430</v>
      </c>
      <c r="G8" s="30">
        <f t="shared" si="0"/>
        <v>32.299999999999997</v>
      </c>
    </row>
    <row r="9" spans="1:7" s="13" customFormat="1" ht="15" hidden="1" customHeight="1">
      <c r="B9" s="31" t="s">
        <v>13</v>
      </c>
      <c r="C9" s="32" t="s">
        <v>9</v>
      </c>
      <c r="D9" s="33" t="s">
        <v>9</v>
      </c>
      <c r="E9" s="34" t="s">
        <v>10</v>
      </c>
      <c r="F9" s="35" t="s">
        <v>10</v>
      </c>
      <c r="G9" s="36" t="s">
        <v>9</v>
      </c>
    </row>
    <row r="10" spans="1:7" s="13" customFormat="1" ht="15" customHeight="1">
      <c r="B10" s="14" t="s">
        <v>14</v>
      </c>
      <c r="C10" s="15">
        <f>SUM(C11:C14)</f>
        <v>14074</v>
      </c>
      <c r="D10" s="16">
        <f>SUM(D11:D14)</f>
        <v>5611</v>
      </c>
      <c r="E10" s="17"/>
      <c r="F10" s="18"/>
      <c r="G10" s="19">
        <f t="shared" si="0"/>
        <v>39.9</v>
      </c>
    </row>
    <row r="11" spans="1:7" s="13" customFormat="1" ht="15" hidden="1" customHeight="1">
      <c r="B11" s="20" t="s">
        <v>8</v>
      </c>
      <c r="C11" s="21" t="s">
        <v>472</v>
      </c>
      <c r="D11" s="22" t="s">
        <v>472</v>
      </c>
      <c r="E11" s="23" t="s">
        <v>10</v>
      </c>
      <c r="F11" s="24" t="s">
        <v>10</v>
      </c>
      <c r="G11" s="25" t="s">
        <v>472</v>
      </c>
    </row>
    <row r="12" spans="1:7" s="13" customFormat="1" ht="15" hidden="1" customHeight="1">
      <c r="B12" s="20" t="s">
        <v>11</v>
      </c>
      <c r="C12" s="26">
        <v>8283</v>
      </c>
      <c r="D12" s="27">
        <v>3456</v>
      </c>
      <c r="E12" s="28">
        <v>3420</v>
      </c>
      <c r="F12" s="29">
        <v>1476</v>
      </c>
      <c r="G12" s="30">
        <f t="shared" si="0"/>
        <v>41.7</v>
      </c>
    </row>
    <row r="13" spans="1:7" s="13" customFormat="1" ht="15" hidden="1" customHeight="1">
      <c r="B13" s="20" t="s">
        <v>12</v>
      </c>
      <c r="C13" s="26">
        <v>5791</v>
      </c>
      <c r="D13" s="27">
        <v>2155</v>
      </c>
      <c r="E13" s="28">
        <v>2144</v>
      </c>
      <c r="F13" s="29">
        <v>963</v>
      </c>
      <c r="G13" s="30">
        <f t="shared" si="0"/>
        <v>37.200000000000003</v>
      </c>
    </row>
    <row r="14" spans="1:7" s="13" customFormat="1" ht="15" hidden="1" customHeight="1">
      <c r="B14" s="31" t="s">
        <v>13</v>
      </c>
      <c r="C14" s="32" t="s">
        <v>472</v>
      </c>
      <c r="D14" s="33" t="s">
        <v>472</v>
      </c>
      <c r="E14" s="34" t="s">
        <v>10</v>
      </c>
      <c r="F14" s="35" t="s">
        <v>10</v>
      </c>
      <c r="G14" s="36" t="s">
        <v>472</v>
      </c>
    </row>
    <row r="15" spans="1:7" s="37" customFormat="1" ht="15" customHeight="1">
      <c r="B15" s="14" t="s">
        <v>15</v>
      </c>
      <c r="C15" s="15">
        <f>SUM(C16:C19)</f>
        <v>22923</v>
      </c>
      <c r="D15" s="16">
        <f>SUM(D16:D19)</f>
        <v>10370</v>
      </c>
      <c r="E15" s="17">
        <f>SUM(E16:E19)</f>
        <v>10212</v>
      </c>
      <c r="F15" s="18">
        <f>SUM(F16:F19)</f>
        <v>4332</v>
      </c>
      <c r="G15" s="19">
        <f t="shared" si="0"/>
        <v>45.2</v>
      </c>
    </row>
    <row r="16" spans="1:7" s="13" customFormat="1" ht="15" hidden="1" customHeight="1">
      <c r="B16" s="20" t="s">
        <v>8</v>
      </c>
      <c r="C16" s="26">
        <v>4703</v>
      </c>
      <c r="D16" s="27">
        <v>2108</v>
      </c>
      <c r="E16" s="28">
        <v>2104</v>
      </c>
      <c r="F16" s="29">
        <v>393</v>
      </c>
      <c r="G16" s="30">
        <f t="shared" si="0"/>
        <v>44.8</v>
      </c>
    </row>
    <row r="17" spans="2:7" s="13" customFormat="1" ht="15" hidden="1" customHeight="1">
      <c r="B17" s="20" t="s">
        <v>11</v>
      </c>
      <c r="C17" s="26">
        <v>9268</v>
      </c>
      <c r="D17" s="27">
        <v>4683</v>
      </c>
      <c r="E17" s="28">
        <v>4617</v>
      </c>
      <c r="F17" s="29">
        <v>2122</v>
      </c>
      <c r="G17" s="30">
        <f t="shared" si="0"/>
        <v>50.5</v>
      </c>
    </row>
    <row r="18" spans="2:7" s="13" customFormat="1" ht="15" hidden="1" customHeight="1">
      <c r="B18" s="20" t="s">
        <v>12</v>
      </c>
      <c r="C18" s="26">
        <v>7128</v>
      </c>
      <c r="D18" s="27">
        <v>2901</v>
      </c>
      <c r="E18" s="28">
        <v>2826</v>
      </c>
      <c r="F18" s="29">
        <v>1429</v>
      </c>
      <c r="G18" s="30">
        <f t="shared" si="0"/>
        <v>40.700000000000003</v>
      </c>
    </row>
    <row r="19" spans="2:7" s="13" customFormat="1" ht="15" hidden="1" customHeight="1">
      <c r="B19" s="31" t="s">
        <v>13</v>
      </c>
      <c r="C19" s="38">
        <v>1824</v>
      </c>
      <c r="D19" s="39">
        <v>678</v>
      </c>
      <c r="E19" s="40">
        <v>665</v>
      </c>
      <c r="F19" s="41">
        <v>388</v>
      </c>
      <c r="G19" s="42">
        <f t="shared" si="0"/>
        <v>37.200000000000003</v>
      </c>
    </row>
    <row r="20" spans="2:7" s="13" customFormat="1" ht="15" customHeight="1">
      <c r="B20" s="14" t="s">
        <v>16</v>
      </c>
      <c r="C20" s="15">
        <f>SUM(C21:C24)</f>
        <v>24508</v>
      </c>
      <c r="D20" s="16">
        <f>SUM(D21:D24)</f>
        <v>12062</v>
      </c>
      <c r="E20" s="17">
        <f>SUM(E21:E24)</f>
        <v>11861</v>
      </c>
      <c r="F20" s="18">
        <f>SUM(F21:F24)</f>
        <v>5319</v>
      </c>
      <c r="G20" s="19">
        <f t="shared" si="0"/>
        <v>49.2</v>
      </c>
    </row>
    <row r="21" spans="2:7" s="13" customFormat="1" ht="15" hidden="1" customHeight="1">
      <c r="B21" s="20" t="s">
        <v>8</v>
      </c>
      <c r="C21" s="26">
        <v>5402</v>
      </c>
      <c r="D21" s="27">
        <v>2551</v>
      </c>
      <c r="E21" s="28">
        <v>2541</v>
      </c>
      <c r="F21" s="29">
        <v>589</v>
      </c>
      <c r="G21" s="30">
        <f t="shared" si="0"/>
        <v>47.2</v>
      </c>
    </row>
    <row r="22" spans="2:7" s="13" customFormat="1" ht="15" hidden="1" customHeight="1">
      <c r="B22" s="20" t="s">
        <v>11</v>
      </c>
      <c r="C22" s="26">
        <v>9268</v>
      </c>
      <c r="D22" s="27">
        <v>5271</v>
      </c>
      <c r="E22" s="28">
        <v>5183</v>
      </c>
      <c r="F22" s="29">
        <v>2511</v>
      </c>
      <c r="G22" s="30">
        <f t="shared" si="0"/>
        <v>56.9</v>
      </c>
    </row>
    <row r="23" spans="2:7" s="13" customFormat="1" ht="15" hidden="1" customHeight="1">
      <c r="B23" s="20" t="s">
        <v>12</v>
      </c>
      <c r="C23" s="26">
        <v>7321</v>
      </c>
      <c r="D23" s="27">
        <v>3286</v>
      </c>
      <c r="E23" s="28">
        <v>3209</v>
      </c>
      <c r="F23" s="29">
        <v>1670</v>
      </c>
      <c r="G23" s="30">
        <f t="shared" si="0"/>
        <v>44.9</v>
      </c>
    </row>
    <row r="24" spans="2:7" s="13" customFormat="1" ht="15" hidden="1" customHeight="1">
      <c r="B24" s="31" t="s">
        <v>13</v>
      </c>
      <c r="C24" s="38">
        <v>2517</v>
      </c>
      <c r="D24" s="39">
        <v>954</v>
      </c>
      <c r="E24" s="40">
        <v>928</v>
      </c>
      <c r="F24" s="41">
        <v>549</v>
      </c>
      <c r="G24" s="42">
        <f t="shared" si="0"/>
        <v>37.9</v>
      </c>
    </row>
    <row r="25" spans="2:7" s="13" customFormat="1" ht="15" customHeight="1">
      <c r="B25" s="14" t="s">
        <v>473</v>
      </c>
      <c r="C25" s="15">
        <f>SUM(C26:C29)</f>
        <v>28160</v>
      </c>
      <c r="D25" s="16">
        <f>SUM(D26:D29)</f>
        <v>13885</v>
      </c>
      <c r="E25" s="17">
        <f>SUM(E26:E29)</f>
        <v>13642</v>
      </c>
      <c r="F25" s="18">
        <f>SUM(F26:F29)</f>
        <v>6401</v>
      </c>
      <c r="G25" s="19">
        <f t="shared" si="0"/>
        <v>49.3</v>
      </c>
    </row>
    <row r="26" spans="2:7" s="13" customFormat="1" ht="14.1" hidden="1" customHeight="1">
      <c r="B26" s="20" t="s">
        <v>8</v>
      </c>
      <c r="C26" s="26">
        <v>7254</v>
      </c>
      <c r="D26" s="27">
        <v>3248</v>
      </c>
      <c r="E26" s="28">
        <v>3226</v>
      </c>
      <c r="F26" s="29">
        <v>920</v>
      </c>
      <c r="G26" s="30">
        <f t="shared" si="0"/>
        <v>44.8</v>
      </c>
    </row>
    <row r="27" spans="2:7" s="13" customFormat="1" ht="14.1" hidden="1" customHeight="1">
      <c r="B27" s="20" t="s">
        <v>11</v>
      </c>
      <c r="C27" s="26">
        <v>9849</v>
      </c>
      <c r="D27" s="27">
        <v>5686</v>
      </c>
      <c r="E27" s="28">
        <v>5598</v>
      </c>
      <c r="F27" s="29">
        <v>2803</v>
      </c>
      <c r="G27" s="30">
        <f t="shared" si="0"/>
        <v>57.7</v>
      </c>
    </row>
    <row r="28" spans="2:7" s="13" customFormat="1" ht="14.1" hidden="1" customHeight="1">
      <c r="B28" s="20" t="s">
        <v>12</v>
      </c>
      <c r="C28" s="26">
        <v>7476</v>
      </c>
      <c r="D28" s="27">
        <v>3618</v>
      </c>
      <c r="E28" s="28">
        <v>3536</v>
      </c>
      <c r="F28" s="29">
        <v>1861</v>
      </c>
      <c r="G28" s="30">
        <f t="shared" si="0"/>
        <v>48.4</v>
      </c>
    </row>
    <row r="29" spans="2:7" s="13" customFormat="1" ht="14.1" hidden="1" customHeight="1">
      <c r="B29" s="31" t="s">
        <v>13</v>
      </c>
      <c r="C29" s="38">
        <v>3581</v>
      </c>
      <c r="D29" s="39">
        <v>1333</v>
      </c>
      <c r="E29" s="40">
        <v>1282</v>
      </c>
      <c r="F29" s="41">
        <v>817</v>
      </c>
      <c r="G29" s="42">
        <f t="shared" si="0"/>
        <v>37.200000000000003</v>
      </c>
    </row>
    <row r="30" spans="2:7" s="13" customFormat="1" ht="15" customHeight="1">
      <c r="B30" s="14" t="s">
        <v>474</v>
      </c>
      <c r="C30" s="15">
        <f>SUM(C31:C34)</f>
        <v>28160</v>
      </c>
      <c r="D30" s="16">
        <f>SUM(D31:D34)</f>
        <v>15016</v>
      </c>
      <c r="E30" s="17">
        <f>SUM(E31:E34)</f>
        <v>14732</v>
      </c>
      <c r="F30" s="18">
        <f>SUM(F31:F34)</f>
        <v>6975</v>
      </c>
      <c r="G30" s="19">
        <f t="shared" si="0"/>
        <v>53.3</v>
      </c>
    </row>
    <row r="31" spans="2:7" s="13" customFormat="1" ht="14.1" customHeight="1">
      <c r="B31" s="20" t="s">
        <v>8</v>
      </c>
      <c r="C31" s="26">
        <v>7254</v>
      </c>
      <c r="D31" s="27">
        <v>3560</v>
      </c>
      <c r="E31" s="28">
        <v>3514</v>
      </c>
      <c r="F31" s="29">
        <v>1105</v>
      </c>
      <c r="G31" s="30">
        <f t="shared" si="0"/>
        <v>49.1</v>
      </c>
    </row>
    <row r="32" spans="2:7" s="13" customFormat="1" ht="14.1" customHeight="1">
      <c r="B32" s="20" t="s">
        <v>11</v>
      </c>
      <c r="C32" s="26">
        <v>9849</v>
      </c>
      <c r="D32" s="27">
        <v>6004</v>
      </c>
      <c r="E32" s="28">
        <v>5909</v>
      </c>
      <c r="F32" s="29">
        <v>2976</v>
      </c>
      <c r="G32" s="30">
        <f t="shared" si="0"/>
        <v>61</v>
      </c>
    </row>
    <row r="33" spans="2:7" s="13" customFormat="1" ht="14.1" customHeight="1">
      <c r="B33" s="20" t="s">
        <v>12</v>
      </c>
      <c r="C33" s="26">
        <v>7476</v>
      </c>
      <c r="D33" s="27">
        <v>3939</v>
      </c>
      <c r="E33" s="28">
        <v>3847</v>
      </c>
      <c r="F33" s="29">
        <v>1987</v>
      </c>
      <c r="G33" s="30">
        <f t="shared" si="0"/>
        <v>52.7</v>
      </c>
    </row>
    <row r="34" spans="2:7" s="13" customFormat="1" ht="14.1" customHeight="1">
      <c r="B34" s="31" t="s">
        <v>13</v>
      </c>
      <c r="C34" s="38">
        <v>3581</v>
      </c>
      <c r="D34" s="39">
        <v>1513</v>
      </c>
      <c r="E34" s="40">
        <v>1462</v>
      </c>
      <c r="F34" s="41">
        <v>907</v>
      </c>
      <c r="G34" s="42">
        <f t="shared" si="0"/>
        <v>42.3</v>
      </c>
    </row>
    <row r="35" spans="2:7" s="13" customFormat="1" ht="15" customHeight="1">
      <c r="B35" s="14" t="s">
        <v>475</v>
      </c>
      <c r="C35" s="15">
        <f>SUM(C36:C39)</f>
        <v>28160</v>
      </c>
      <c r="D35" s="16">
        <f>SUM(D36:D39)</f>
        <v>15948</v>
      </c>
      <c r="E35" s="17">
        <f>SUM(E36:E39)</f>
        <v>15630</v>
      </c>
      <c r="F35" s="18">
        <f>SUM(F36:F39)</f>
        <v>7182</v>
      </c>
      <c r="G35" s="19">
        <f t="shared" si="0"/>
        <v>56.6</v>
      </c>
    </row>
    <row r="36" spans="2:7" s="13" customFormat="1" ht="14.1" customHeight="1">
      <c r="B36" s="20" t="s">
        <v>8</v>
      </c>
      <c r="C36" s="26">
        <v>7254</v>
      </c>
      <c r="D36" s="27">
        <v>3847</v>
      </c>
      <c r="E36" s="28">
        <v>3790</v>
      </c>
      <c r="F36" s="29">
        <v>1181</v>
      </c>
      <c r="G36" s="30">
        <f t="shared" si="0"/>
        <v>53</v>
      </c>
    </row>
    <row r="37" spans="2:7" s="13" customFormat="1" ht="14.1" customHeight="1">
      <c r="B37" s="20" t="s">
        <v>11</v>
      </c>
      <c r="C37" s="26">
        <v>9849</v>
      </c>
      <c r="D37" s="27">
        <v>6294</v>
      </c>
      <c r="E37" s="28">
        <v>6192</v>
      </c>
      <c r="F37" s="29">
        <v>3015</v>
      </c>
      <c r="G37" s="30">
        <f t="shared" si="0"/>
        <v>63.9</v>
      </c>
    </row>
    <row r="38" spans="2:7" s="13" customFormat="1" ht="14.1" customHeight="1">
      <c r="B38" s="20" t="s">
        <v>12</v>
      </c>
      <c r="C38" s="26">
        <v>7476</v>
      </c>
      <c r="D38" s="27">
        <v>4178</v>
      </c>
      <c r="E38" s="28">
        <v>4081</v>
      </c>
      <c r="F38" s="29">
        <v>2040</v>
      </c>
      <c r="G38" s="30">
        <f t="shared" si="0"/>
        <v>55.9</v>
      </c>
    </row>
    <row r="39" spans="2:7" s="13" customFormat="1" ht="14.1" customHeight="1">
      <c r="B39" s="31" t="s">
        <v>13</v>
      </c>
      <c r="C39" s="38">
        <v>3581</v>
      </c>
      <c r="D39" s="39">
        <v>1629</v>
      </c>
      <c r="E39" s="40">
        <v>1567</v>
      </c>
      <c r="F39" s="41">
        <v>946</v>
      </c>
      <c r="G39" s="42">
        <f t="shared" si="0"/>
        <v>45.5</v>
      </c>
    </row>
    <row r="40" spans="2:7" s="13" customFormat="1" ht="15" customHeight="1">
      <c r="B40" s="14" t="s">
        <v>476</v>
      </c>
      <c r="C40" s="15">
        <f>SUM(C41:C44)</f>
        <v>28160</v>
      </c>
      <c r="D40" s="16">
        <f>SUM(D41:D44)</f>
        <v>16699</v>
      </c>
      <c r="E40" s="17">
        <f>SUM(E41:E44)</f>
        <v>16347</v>
      </c>
      <c r="F40" s="18">
        <f>SUM(F41:F44)</f>
        <v>7452</v>
      </c>
      <c r="G40" s="19">
        <f t="shared" si="0"/>
        <v>59.3</v>
      </c>
    </row>
    <row r="41" spans="2:7" s="13" customFormat="1" ht="14.1" customHeight="1">
      <c r="B41" s="20" t="s">
        <v>8</v>
      </c>
      <c r="C41" s="26">
        <v>7254</v>
      </c>
      <c r="D41" s="27">
        <v>4043</v>
      </c>
      <c r="E41" s="28">
        <v>3979</v>
      </c>
      <c r="F41" s="29">
        <v>1277</v>
      </c>
      <c r="G41" s="30">
        <f t="shared" si="0"/>
        <v>55.7</v>
      </c>
    </row>
    <row r="42" spans="2:7" s="13" customFormat="1" ht="14.1" customHeight="1">
      <c r="B42" s="20" t="s">
        <v>11</v>
      </c>
      <c r="C42" s="26">
        <v>9849</v>
      </c>
      <c r="D42" s="27">
        <v>6473</v>
      </c>
      <c r="E42" s="28">
        <v>6363</v>
      </c>
      <c r="F42" s="29">
        <v>3068</v>
      </c>
      <c r="G42" s="30">
        <f t="shared" si="0"/>
        <v>65.7</v>
      </c>
    </row>
    <row r="43" spans="2:7" s="13" customFormat="1" ht="14.1" customHeight="1">
      <c r="B43" s="20" t="s">
        <v>12</v>
      </c>
      <c r="C43" s="26">
        <v>7476</v>
      </c>
      <c r="D43" s="27">
        <v>4438</v>
      </c>
      <c r="E43" s="28">
        <v>4333</v>
      </c>
      <c r="F43" s="29">
        <v>2090</v>
      </c>
      <c r="G43" s="30">
        <f t="shared" si="0"/>
        <v>59.4</v>
      </c>
    </row>
    <row r="44" spans="2:7" s="13" customFormat="1" ht="14.1" customHeight="1">
      <c r="B44" s="31" t="s">
        <v>13</v>
      </c>
      <c r="C44" s="38">
        <v>3581</v>
      </c>
      <c r="D44" s="39">
        <v>1745</v>
      </c>
      <c r="E44" s="40">
        <v>1672</v>
      </c>
      <c r="F44" s="41">
        <v>1017</v>
      </c>
      <c r="G44" s="42">
        <f t="shared" si="0"/>
        <v>48.7</v>
      </c>
    </row>
    <row r="45" spans="2:7" s="13" customFormat="1" ht="15" customHeight="1">
      <c r="B45" s="14" t="s">
        <v>477</v>
      </c>
      <c r="C45" s="15">
        <f>SUM(C46:C49)</f>
        <v>28160</v>
      </c>
      <c r="D45" s="16">
        <f>SUM(D46:D49)</f>
        <v>17448</v>
      </c>
      <c r="E45" s="17">
        <f>SUM(E46:E49)</f>
        <v>17075</v>
      </c>
      <c r="F45" s="18">
        <f>SUM(F46:F49)</f>
        <v>7713</v>
      </c>
      <c r="G45" s="19">
        <f t="shared" si="0"/>
        <v>62</v>
      </c>
    </row>
    <row r="46" spans="2:7" s="13" customFormat="1" ht="14.1" customHeight="1">
      <c r="B46" s="20" t="s">
        <v>8</v>
      </c>
      <c r="C46" s="26">
        <v>7254</v>
      </c>
      <c r="D46" s="27">
        <v>4226</v>
      </c>
      <c r="E46" s="28">
        <v>4155</v>
      </c>
      <c r="F46" s="29">
        <v>1356</v>
      </c>
      <c r="G46" s="30">
        <f t="shared" si="0"/>
        <v>58.3</v>
      </c>
    </row>
    <row r="47" spans="2:7" s="13" customFormat="1" ht="14.1" customHeight="1">
      <c r="B47" s="20" t="s">
        <v>11</v>
      </c>
      <c r="C47" s="26">
        <v>9849</v>
      </c>
      <c r="D47" s="27">
        <v>6619</v>
      </c>
      <c r="E47" s="28">
        <v>6508</v>
      </c>
      <c r="F47" s="29">
        <v>3101</v>
      </c>
      <c r="G47" s="30">
        <f t="shared" si="0"/>
        <v>67.2</v>
      </c>
    </row>
    <row r="48" spans="2:7" s="13" customFormat="1" ht="14.1" customHeight="1">
      <c r="B48" s="20" t="s">
        <v>12</v>
      </c>
      <c r="C48" s="26">
        <v>7476</v>
      </c>
      <c r="D48" s="27">
        <v>4688</v>
      </c>
      <c r="E48" s="28">
        <v>4573</v>
      </c>
      <c r="F48" s="29">
        <v>2164</v>
      </c>
      <c r="G48" s="30">
        <f t="shared" si="0"/>
        <v>62.7</v>
      </c>
    </row>
    <row r="49" spans="2:7" s="13" customFormat="1" ht="14.1" customHeight="1">
      <c r="B49" s="31" t="s">
        <v>13</v>
      </c>
      <c r="C49" s="38">
        <v>3581</v>
      </c>
      <c r="D49" s="39">
        <v>1915</v>
      </c>
      <c r="E49" s="40">
        <v>1839</v>
      </c>
      <c r="F49" s="41">
        <v>1092</v>
      </c>
      <c r="G49" s="42">
        <f t="shared" si="0"/>
        <v>53.5</v>
      </c>
    </row>
    <row r="50" spans="2:7" s="13" customFormat="1" ht="15" customHeight="1">
      <c r="B50" s="14" t="s">
        <v>478</v>
      </c>
      <c r="C50" s="15">
        <f>SUM(C51:C54)</f>
        <v>28160</v>
      </c>
      <c r="D50" s="16">
        <f>SUM(D51:D54)</f>
        <v>18424</v>
      </c>
      <c r="E50" s="17">
        <f>SUM(E51:E54)</f>
        <v>18035</v>
      </c>
      <c r="F50" s="18">
        <f>SUM(F51:F54)</f>
        <v>7869</v>
      </c>
      <c r="G50" s="19">
        <f t="shared" si="0"/>
        <v>65.400000000000006</v>
      </c>
    </row>
    <row r="51" spans="2:7" s="13" customFormat="1" ht="14.1" customHeight="1">
      <c r="B51" s="20" t="s">
        <v>8</v>
      </c>
      <c r="C51" s="26">
        <v>7254</v>
      </c>
      <c r="D51" s="27">
        <v>4478</v>
      </c>
      <c r="E51" s="28">
        <v>4401</v>
      </c>
      <c r="F51" s="29">
        <v>1428</v>
      </c>
      <c r="G51" s="30">
        <f t="shared" si="0"/>
        <v>61.7</v>
      </c>
    </row>
    <row r="52" spans="2:7" s="13" customFormat="1" ht="14.1" customHeight="1">
      <c r="B52" s="20" t="s">
        <v>11</v>
      </c>
      <c r="C52" s="26">
        <v>9849</v>
      </c>
      <c r="D52" s="27">
        <v>6787</v>
      </c>
      <c r="E52" s="28">
        <v>6678</v>
      </c>
      <c r="F52" s="29">
        <v>3089</v>
      </c>
      <c r="G52" s="30">
        <f t="shared" si="0"/>
        <v>68.900000000000006</v>
      </c>
    </row>
    <row r="53" spans="2:7" s="13" customFormat="1" ht="14.1" customHeight="1">
      <c r="B53" s="20" t="s">
        <v>12</v>
      </c>
      <c r="C53" s="26">
        <v>7476</v>
      </c>
      <c r="D53" s="27">
        <v>5020</v>
      </c>
      <c r="E53" s="28">
        <v>4902</v>
      </c>
      <c r="F53" s="29">
        <v>2153</v>
      </c>
      <c r="G53" s="30">
        <f t="shared" si="0"/>
        <v>67.099999999999994</v>
      </c>
    </row>
    <row r="54" spans="2:7" s="13" customFormat="1" ht="14.1" customHeight="1">
      <c r="B54" s="31" t="s">
        <v>13</v>
      </c>
      <c r="C54" s="38">
        <v>3581</v>
      </c>
      <c r="D54" s="39">
        <v>2139</v>
      </c>
      <c r="E54" s="40">
        <v>2054</v>
      </c>
      <c r="F54" s="41">
        <v>1199</v>
      </c>
      <c r="G54" s="42">
        <f t="shared" si="0"/>
        <v>59.7</v>
      </c>
    </row>
    <row r="55" spans="2:7" s="13" customFormat="1" ht="15" customHeight="1">
      <c r="B55" s="14" t="s">
        <v>479</v>
      </c>
      <c r="C55" s="15">
        <f>SUM(C56:C59)</f>
        <v>28160</v>
      </c>
      <c r="D55" s="16">
        <f>SUM(D56:D59)</f>
        <v>19435</v>
      </c>
      <c r="E55" s="17">
        <f>SUM(E56:E59)</f>
        <v>19035</v>
      </c>
      <c r="F55" s="18">
        <f>SUM(F56:F59)</f>
        <v>7977</v>
      </c>
      <c r="G55" s="19">
        <f t="shared" si="0"/>
        <v>69</v>
      </c>
    </row>
    <row r="56" spans="2:7" s="13" customFormat="1" ht="14.1" customHeight="1">
      <c r="B56" s="20" t="s">
        <v>8</v>
      </c>
      <c r="C56" s="26">
        <v>7254</v>
      </c>
      <c r="D56" s="27">
        <v>4741</v>
      </c>
      <c r="E56" s="28">
        <v>4660</v>
      </c>
      <c r="F56" s="29">
        <v>1515</v>
      </c>
      <c r="G56" s="30">
        <f t="shared" si="0"/>
        <v>65.400000000000006</v>
      </c>
    </row>
    <row r="57" spans="2:7" s="13" customFormat="1" ht="14.1" customHeight="1">
      <c r="B57" s="20" t="s">
        <v>11</v>
      </c>
      <c r="C57" s="26">
        <v>9849</v>
      </c>
      <c r="D57" s="27">
        <v>7012</v>
      </c>
      <c r="E57" s="28">
        <v>6906</v>
      </c>
      <c r="F57" s="29">
        <v>2987</v>
      </c>
      <c r="G57" s="30">
        <f t="shared" si="0"/>
        <v>71.2</v>
      </c>
    </row>
    <row r="58" spans="2:7" s="13" customFormat="1" ht="14.1" customHeight="1">
      <c r="B58" s="20" t="s">
        <v>12</v>
      </c>
      <c r="C58" s="26">
        <v>7476</v>
      </c>
      <c r="D58" s="27">
        <v>5343</v>
      </c>
      <c r="E58" s="28">
        <v>5223</v>
      </c>
      <c r="F58" s="29">
        <v>2160</v>
      </c>
      <c r="G58" s="30">
        <f t="shared" si="0"/>
        <v>71.5</v>
      </c>
    </row>
    <row r="59" spans="2:7" s="13" customFormat="1" ht="14.1" customHeight="1">
      <c r="B59" s="31" t="s">
        <v>13</v>
      </c>
      <c r="C59" s="38">
        <v>3581</v>
      </c>
      <c r="D59" s="39">
        <v>2339</v>
      </c>
      <c r="E59" s="40">
        <v>2246</v>
      </c>
      <c r="F59" s="41">
        <v>1315</v>
      </c>
      <c r="G59" s="42">
        <f t="shared" si="0"/>
        <v>65.3</v>
      </c>
    </row>
    <row r="60" spans="2:7" s="13" customFormat="1" ht="15" customHeight="1">
      <c r="B60" s="14" t="s">
        <v>480</v>
      </c>
      <c r="C60" s="15">
        <f>SUM(C61:C64)</f>
        <v>28160</v>
      </c>
      <c r="D60" s="16">
        <f>SUM(D61:D64)</f>
        <v>19762</v>
      </c>
      <c r="E60" s="17">
        <f>SUM(E61:E64)</f>
        <v>19380</v>
      </c>
      <c r="F60" s="18">
        <f>SUM(F61:F64)</f>
        <v>7774</v>
      </c>
      <c r="G60" s="19">
        <f t="shared" si="0"/>
        <v>70.2</v>
      </c>
    </row>
    <row r="61" spans="2:7" s="13" customFormat="1" ht="14.1" customHeight="1">
      <c r="B61" s="20" t="s">
        <v>8</v>
      </c>
      <c r="C61" s="26">
        <v>7254</v>
      </c>
      <c r="D61" s="27">
        <v>4763</v>
      </c>
      <c r="E61" s="28">
        <v>4683</v>
      </c>
      <c r="F61" s="29">
        <v>1528</v>
      </c>
      <c r="G61" s="30">
        <f t="shared" si="0"/>
        <v>65.7</v>
      </c>
    </row>
    <row r="62" spans="2:7" s="13" customFormat="1" ht="14.1" customHeight="1">
      <c r="B62" s="20" t="s">
        <v>11</v>
      </c>
      <c r="C62" s="26">
        <v>9849</v>
      </c>
      <c r="D62" s="27">
        <v>7112</v>
      </c>
      <c r="E62" s="28">
        <v>7006</v>
      </c>
      <c r="F62" s="29">
        <v>2857</v>
      </c>
      <c r="G62" s="30">
        <f t="shared" si="0"/>
        <v>72.2</v>
      </c>
    </row>
    <row r="63" spans="2:7" s="13" customFormat="1" ht="14.1" customHeight="1">
      <c r="B63" s="20" t="s">
        <v>12</v>
      </c>
      <c r="C63" s="26">
        <v>7476</v>
      </c>
      <c r="D63" s="27">
        <v>5491</v>
      </c>
      <c r="E63" s="28">
        <v>5376</v>
      </c>
      <c r="F63" s="29">
        <v>2154</v>
      </c>
      <c r="G63" s="30">
        <f t="shared" si="0"/>
        <v>73.400000000000006</v>
      </c>
    </row>
    <row r="64" spans="2:7" s="13" customFormat="1" ht="14.1" customHeight="1">
      <c r="B64" s="31" t="s">
        <v>13</v>
      </c>
      <c r="C64" s="38">
        <v>3581</v>
      </c>
      <c r="D64" s="39">
        <v>2396</v>
      </c>
      <c r="E64" s="40">
        <v>2315</v>
      </c>
      <c r="F64" s="41">
        <v>1235</v>
      </c>
      <c r="G64" s="42">
        <f t="shared" si="0"/>
        <v>66.900000000000006</v>
      </c>
    </row>
    <row r="65" spans="2:7" s="13" customFormat="1" ht="15" customHeight="1">
      <c r="B65" s="14" t="s">
        <v>481</v>
      </c>
      <c r="C65" s="15">
        <f>SUM(C66:C69)</f>
        <v>28160</v>
      </c>
      <c r="D65" s="16">
        <f>SUM(D66:D69)</f>
        <v>20136</v>
      </c>
      <c r="E65" s="17">
        <f>SUM(E66:E69)</f>
        <v>19767</v>
      </c>
      <c r="F65" s="18">
        <f>SUM(F66:F69)</f>
        <v>7645</v>
      </c>
      <c r="G65" s="19">
        <f t="shared" si="0"/>
        <v>71.5</v>
      </c>
    </row>
    <row r="66" spans="2:7" s="13" customFormat="1" ht="14.1" customHeight="1">
      <c r="B66" s="20" t="s">
        <v>8</v>
      </c>
      <c r="C66" s="26">
        <v>7254</v>
      </c>
      <c r="D66" s="27">
        <v>4968</v>
      </c>
      <c r="E66" s="28">
        <v>4893</v>
      </c>
      <c r="F66" s="29">
        <v>1561</v>
      </c>
      <c r="G66" s="30">
        <f t="shared" si="0"/>
        <v>68.5</v>
      </c>
    </row>
    <row r="67" spans="2:7" s="13" customFormat="1" ht="14.1" customHeight="1">
      <c r="B67" s="20" t="s">
        <v>11</v>
      </c>
      <c r="C67" s="26">
        <v>9849</v>
      </c>
      <c r="D67" s="27">
        <v>7130</v>
      </c>
      <c r="E67" s="28">
        <v>7023</v>
      </c>
      <c r="F67" s="29">
        <v>2737</v>
      </c>
      <c r="G67" s="30">
        <f t="shared" si="0"/>
        <v>72.400000000000006</v>
      </c>
    </row>
    <row r="68" spans="2:7" s="13" customFormat="1" ht="14.1" customHeight="1">
      <c r="B68" s="20" t="s">
        <v>12</v>
      </c>
      <c r="C68" s="26">
        <v>7476</v>
      </c>
      <c r="D68" s="27">
        <v>5601</v>
      </c>
      <c r="E68" s="28">
        <v>5490</v>
      </c>
      <c r="F68" s="29">
        <v>2146</v>
      </c>
      <c r="G68" s="30">
        <f t="shared" si="0"/>
        <v>74.900000000000006</v>
      </c>
    </row>
    <row r="69" spans="2:7" s="13" customFormat="1" ht="14.1" customHeight="1">
      <c r="B69" s="31" t="s">
        <v>13</v>
      </c>
      <c r="C69" s="38">
        <v>3581</v>
      </c>
      <c r="D69" s="39">
        <v>2437</v>
      </c>
      <c r="E69" s="40">
        <v>2361</v>
      </c>
      <c r="F69" s="41">
        <v>1201</v>
      </c>
      <c r="G69" s="42">
        <f t="shared" ref="G69:G79" si="1">ROUND(D69/C69*100,1)</f>
        <v>68.099999999999994</v>
      </c>
    </row>
    <row r="70" spans="2:7" s="13" customFormat="1" ht="14.1" customHeight="1">
      <c r="B70" s="14" t="s">
        <v>482</v>
      </c>
      <c r="C70" s="15">
        <v>28160</v>
      </c>
      <c r="D70" s="16">
        <f>SUM(D71:D74)</f>
        <v>20438</v>
      </c>
      <c r="E70" s="17">
        <f>SUM(E71:E74)</f>
        <v>20071</v>
      </c>
      <c r="F70" s="18">
        <f>SUM(F71:F74)</f>
        <v>8181</v>
      </c>
      <c r="G70" s="19">
        <f t="shared" si="1"/>
        <v>72.599999999999994</v>
      </c>
    </row>
    <row r="71" spans="2:7" s="13" customFormat="1" ht="14.1" customHeight="1">
      <c r="B71" s="20" t="s">
        <v>8</v>
      </c>
      <c r="C71" s="26">
        <v>7254</v>
      </c>
      <c r="D71" s="27">
        <v>5024</v>
      </c>
      <c r="E71" s="28">
        <v>4945</v>
      </c>
      <c r="F71" s="29">
        <v>1644</v>
      </c>
      <c r="G71" s="30">
        <f t="shared" si="1"/>
        <v>69.3</v>
      </c>
    </row>
    <row r="72" spans="2:7" s="13" customFormat="1" ht="14.1" customHeight="1">
      <c r="B72" s="20" t="s">
        <v>11</v>
      </c>
      <c r="C72" s="26">
        <v>9849</v>
      </c>
      <c r="D72" s="27">
        <v>7186</v>
      </c>
      <c r="E72" s="28">
        <v>7088</v>
      </c>
      <c r="F72" s="29">
        <v>3052</v>
      </c>
      <c r="G72" s="30">
        <f t="shared" si="1"/>
        <v>73</v>
      </c>
    </row>
    <row r="73" spans="2:7" s="13" customFormat="1" ht="14.1" customHeight="1">
      <c r="B73" s="20" t="s">
        <v>12</v>
      </c>
      <c r="C73" s="26">
        <v>7476</v>
      </c>
      <c r="D73" s="27">
        <v>5738</v>
      </c>
      <c r="E73" s="28">
        <v>5625</v>
      </c>
      <c r="F73" s="29">
        <v>2219</v>
      </c>
      <c r="G73" s="30">
        <f t="shared" si="1"/>
        <v>76.8</v>
      </c>
    </row>
    <row r="74" spans="2:7" s="13" customFormat="1" ht="14.1" customHeight="1">
      <c r="B74" s="31" t="s">
        <v>13</v>
      </c>
      <c r="C74" s="38">
        <v>3581</v>
      </c>
      <c r="D74" s="39">
        <v>2490</v>
      </c>
      <c r="E74" s="40">
        <v>2413</v>
      </c>
      <c r="F74" s="41">
        <v>1266</v>
      </c>
      <c r="G74" s="42">
        <f t="shared" si="1"/>
        <v>69.5</v>
      </c>
    </row>
    <row r="75" spans="2:7" s="13" customFormat="1" ht="14.1" customHeight="1">
      <c r="B75" s="14" t="s">
        <v>483</v>
      </c>
      <c r="C75" s="15">
        <f>SUM(C76:C79)</f>
        <v>30585</v>
      </c>
      <c r="D75" s="16">
        <f>SUM(D76:D79)</f>
        <v>20830</v>
      </c>
      <c r="E75" s="17">
        <f>SUM(E76:E79)</f>
        <v>20473</v>
      </c>
      <c r="F75" s="18">
        <f>SUM(F76:F79)</f>
        <v>9019</v>
      </c>
      <c r="G75" s="19">
        <f t="shared" si="1"/>
        <v>68.099999999999994</v>
      </c>
    </row>
    <row r="76" spans="2:7" s="13" customFormat="1" ht="14.1" customHeight="1">
      <c r="B76" s="20" t="s">
        <v>8</v>
      </c>
      <c r="C76" s="26">
        <v>7567</v>
      </c>
      <c r="D76" s="27">
        <v>5083</v>
      </c>
      <c r="E76" s="28">
        <v>5005</v>
      </c>
      <c r="F76" s="29">
        <v>1991</v>
      </c>
      <c r="G76" s="30">
        <f t="shared" si="1"/>
        <v>67.2</v>
      </c>
    </row>
    <row r="77" spans="2:7" s="13" customFormat="1" ht="14.1" customHeight="1">
      <c r="B77" s="20" t="s">
        <v>11</v>
      </c>
      <c r="C77" s="26">
        <v>10793</v>
      </c>
      <c r="D77" s="27">
        <v>7286</v>
      </c>
      <c r="E77" s="28">
        <v>7190</v>
      </c>
      <c r="F77" s="29">
        <v>3175</v>
      </c>
      <c r="G77" s="30">
        <f t="shared" si="1"/>
        <v>67.5</v>
      </c>
    </row>
    <row r="78" spans="2:7" s="13" customFormat="1" ht="14.1" customHeight="1">
      <c r="B78" s="20" t="s">
        <v>12</v>
      </c>
      <c r="C78" s="26">
        <v>8332</v>
      </c>
      <c r="D78" s="27">
        <v>5909</v>
      </c>
      <c r="E78" s="28">
        <v>5803</v>
      </c>
      <c r="F78" s="29">
        <v>2501</v>
      </c>
      <c r="G78" s="30">
        <f t="shared" si="1"/>
        <v>70.900000000000006</v>
      </c>
    </row>
    <row r="79" spans="2:7" s="13" customFormat="1" ht="14.1" customHeight="1">
      <c r="B79" s="31" t="s">
        <v>13</v>
      </c>
      <c r="C79" s="38">
        <v>3893</v>
      </c>
      <c r="D79" s="39">
        <v>2552</v>
      </c>
      <c r="E79" s="40">
        <v>2475</v>
      </c>
      <c r="F79" s="41">
        <v>1352</v>
      </c>
      <c r="G79" s="42">
        <f t="shared" si="1"/>
        <v>65.599999999999994</v>
      </c>
    </row>
    <row r="80" spans="2:7" s="4" customFormat="1" ht="15" customHeight="1">
      <c r="B80" s="43"/>
      <c r="C80" s="44"/>
      <c r="D80" s="44"/>
      <c r="E80" s="44"/>
      <c r="F80" s="44"/>
      <c r="G80" s="45" t="s">
        <v>17</v>
      </c>
    </row>
  </sheetData>
  <mergeCells count="2">
    <mergeCell ref="B3:B4"/>
    <mergeCell ref="D3:F3"/>
  </mergeCells>
  <phoneticPr fontId="1"/>
  <pageMargins left="0.59055118110236227" right="0.59055118110236227" top="0.70866141732283472" bottom="0.39370078740157483" header="0.39370078740157483" footer="0.39370078740157483"/>
  <pageSetup paperSize="9" scale="95" orientation="portrait" r:id="rId1"/>
  <headerFooter alignWithMargins="0">
    <oddHeader>&amp;R15.交通・通信</oddHeader>
    <oddFooter>&amp;C-111-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115" zoomScaleNormal="115" zoomScaleSheetLayoutView="100" workbookViewId="0">
      <selection activeCell="B3" sqref="B3:B4"/>
    </sheetView>
  </sheetViews>
  <sheetFormatPr defaultRowHeight="13.5"/>
  <cols>
    <col min="1" max="1" width="3.5" style="46" customWidth="1"/>
    <col min="2" max="2" width="6.625" style="154" customWidth="1"/>
    <col min="3" max="3" width="4.625" style="154" customWidth="1"/>
    <col min="4" max="4" width="12.625" style="402" customWidth="1"/>
    <col min="5" max="6" width="14.125" style="154" customWidth="1"/>
    <col min="7" max="7" width="7.375" style="403" customWidth="1"/>
    <col min="8" max="8" width="6.625" style="403" customWidth="1"/>
    <col min="9" max="9" width="7.625" style="46" customWidth="1"/>
    <col min="10" max="11" width="7.125" style="46" customWidth="1"/>
    <col min="12" max="12" width="1.25" style="46" customWidth="1"/>
    <col min="13" max="256" width="9" style="46"/>
    <col min="257" max="257" width="3.5" style="46" customWidth="1"/>
    <col min="258" max="258" width="6.625" style="46" customWidth="1"/>
    <col min="259" max="259" width="4.625" style="46" customWidth="1"/>
    <col min="260" max="260" width="12.625" style="46" customWidth="1"/>
    <col min="261" max="262" width="14.125" style="46" customWidth="1"/>
    <col min="263" max="263" width="7.375" style="46" customWidth="1"/>
    <col min="264" max="264" width="6.625" style="46" customWidth="1"/>
    <col min="265" max="265" width="7.625" style="46" customWidth="1"/>
    <col min="266" max="267" width="7.125" style="46" customWidth="1"/>
    <col min="268" max="268" width="1.25" style="46" customWidth="1"/>
    <col min="269" max="512" width="9" style="46"/>
    <col min="513" max="513" width="3.5" style="46" customWidth="1"/>
    <col min="514" max="514" width="6.625" style="46" customWidth="1"/>
    <col min="515" max="515" width="4.625" style="46" customWidth="1"/>
    <col min="516" max="516" width="12.625" style="46" customWidth="1"/>
    <col min="517" max="518" width="14.125" style="46" customWidth="1"/>
    <col min="519" max="519" width="7.375" style="46" customWidth="1"/>
    <col min="520" max="520" width="6.625" style="46" customWidth="1"/>
    <col min="521" max="521" width="7.625" style="46" customWidth="1"/>
    <col min="522" max="523" width="7.125" style="46" customWidth="1"/>
    <col min="524" max="524" width="1.25" style="46" customWidth="1"/>
    <col min="525" max="768" width="9" style="46"/>
    <col min="769" max="769" width="3.5" style="46" customWidth="1"/>
    <col min="770" max="770" width="6.625" style="46" customWidth="1"/>
    <col min="771" max="771" width="4.625" style="46" customWidth="1"/>
    <col min="772" max="772" width="12.625" style="46" customWidth="1"/>
    <col min="773" max="774" width="14.125" style="46" customWidth="1"/>
    <col min="775" max="775" width="7.375" style="46" customWidth="1"/>
    <col min="776" max="776" width="6.625" style="46" customWidth="1"/>
    <col min="777" max="777" width="7.625" style="46" customWidth="1"/>
    <col min="778" max="779" width="7.125" style="46" customWidth="1"/>
    <col min="780" max="780" width="1.25" style="46" customWidth="1"/>
    <col min="781" max="1024" width="9" style="46"/>
    <col min="1025" max="1025" width="3.5" style="46" customWidth="1"/>
    <col min="1026" max="1026" width="6.625" style="46" customWidth="1"/>
    <col min="1027" max="1027" width="4.625" style="46" customWidth="1"/>
    <col min="1028" max="1028" width="12.625" style="46" customWidth="1"/>
    <col min="1029" max="1030" width="14.125" style="46" customWidth="1"/>
    <col min="1031" max="1031" width="7.375" style="46" customWidth="1"/>
    <col min="1032" max="1032" width="6.625" style="46" customWidth="1"/>
    <col min="1033" max="1033" width="7.625" style="46" customWidth="1"/>
    <col min="1034" max="1035" width="7.125" style="46" customWidth="1"/>
    <col min="1036" max="1036" width="1.25" style="46" customWidth="1"/>
    <col min="1037" max="1280" width="9" style="46"/>
    <col min="1281" max="1281" width="3.5" style="46" customWidth="1"/>
    <col min="1282" max="1282" width="6.625" style="46" customWidth="1"/>
    <col min="1283" max="1283" width="4.625" style="46" customWidth="1"/>
    <col min="1284" max="1284" width="12.625" style="46" customWidth="1"/>
    <col min="1285" max="1286" width="14.125" style="46" customWidth="1"/>
    <col min="1287" max="1287" width="7.375" style="46" customWidth="1"/>
    <col min="1288" max="1288" width="6.625" style="46" customWidth="1"/>
    <col min="1289" max="1289" width="7.625" style="46" customWidth="1"/>
    <col min="1290" max="1291" width="7.125" style="46" customWidth="1"/>
    <col min="1292" max="1292" width="1.25" style="46" customWidth="1"/>
    <col min="1293" max="1536" width="9" style="46"/>
    <col min="1537" max="1537" width="3.5" style="46" customWidth="1"/>
    <col min="1538" max="1538" width="6.625" style="46" customWidth="1"/>
    <col min="1539" max="1539" width="4.625" style="46" customWidth="1"/>
    <col min="1540" max="1540" width="12.625" style="46" customWidth="1"/>
    <col min="1541" max="1542" width="14.125" style="46" customWidth="1"/>
    <col min="1543" max="1543" width="7.375" style="46" customWidth="1"/>
    <col min="1544" max="1544" width="6.625" style="46" customWidth="1"/>
    <col min="1545" max="1545" width="7.625" style="46" customWidth="1"/>
    <col min="1546" max="1547" width="7.125" style="46" customWidth="1"/>
    <col min="1548" max="1548" width="1.25" style="46" customWidth="1"/>
    <col min="1549" max="1792" width="9" style="46"/>
    <col min="1793" max="1793" width="3.5" style="46" customWidth="1"/>
    <col min="1794" max="1794" width="6.625" style="46" customWidth="1"/>
    <col min="1795" max="1795" width="4.625" style="46" customWidth="1"/>
    <col min="1796" max="1796" width="12.625" style="46" customWidth="1"/>
    <col min="1797" max="1798" width="14.125" style="46" customWidth="1"/>
    <col min="1799" max="1799" width="7.375" style="46" customWidth="1"/>
    <col min="1800" max="1800" width="6.625" style="46" customWidth="1"/>
    <col min="1801" max="1801" width="7.625" style="46" customWidth="1"/>
    <col min="1802" max="1803" width="7.125" style="46" customWidth="1"/>
    <col min="1804" max="1804" width="1.25" style="46" customWidth="1"/>
    <col min="1805" max="2048" width="9" style="46"/>
    <col min="2049" max="2049" width="3.5" style="46" customWidth="1"/>
    <col min="2050" max="2050" width="6.625" style="46" customWidth="1"/>
    <col min="2051" max="2051" width="4.625" style="46" customWidth="1"/>
    <col min="2052" max="2052" width="12.625" style="46" customWidth="1"/>
    <col min="2053" max="2054" width="14.125" style="46" customWidth="1"/>
    <col min="2055" max="2055" width="7.375" style="46" customWidth="1"/>
    <col min="2056" max="2056" width="6.625" style="46" customWidth="1"/>
    <col min="2057" max="2057" width="7.625" style="46" customWidth="1"/>
    <col min="2058" max="2059" width="7.125" style="46" customWidth="1"/>
    <col min="2060" max="2060" width="1.25" style="46" customWidth="1"/>
    <col min="2061" max="2304" width="9" style="46"/>
    <col min="2305" max="2305" width="3.5" style="46" customWidth="1"/>
    <col min="2306" max="2306" width="6.625" style="46" customWidth="1"/>
    <col min="2307" max="2307" width="4.625" style="46" customWidth="1"/>
    <col min="2308" max="2308" width="12.625" style="46" customWidth="1"/>
    <col min="2309" max="2310" width="14.125" style="46" customWidth="1"/>
    <col min="2311" max="2311" width="7.375" style="46" customWidth="1"/>
    <col min="2312" max="2312" width="6.625" style="46" customWidth="1"/>
    <col min="2313" max="2313" width="7.625" style="46" customWidth="1"/>
    <col min="2314" max="2315" width="7.125" style="46" customWidth="1"/>
    <col min="2316" max="2316" width="1.25" style="46" customWidth="1"/>
    <col min="2317" max="2560" width="9" style="46"/>
    <col min="2561" max="2561" width="3.5" style="46" customWidth="1"/>
    <col min="2562" max="2562" width="6.625" style="46" customWidth="1"/>
    <col min="2563" max="2563" width="4.625" style="46" customWidth="1"/>
    <col min="2564" max="2564" width="12.625" style="46" customWidth="1"/>
    <col min="2565" max="2566" width="14.125" style="46" customWidth="1"/>
    <col min="2567" max="2567" width="7.375" style="46" customWidth="1"/>
    <col min="2568" max="2568" width="6.625" style="46" customWidth="1"/>
    <col min="2569" max="2569" width="7.625" style="46" customWidth="1"/>
    <col min="2570" max="2571" width="7.125" style="46" customWidth="1"/>
    <col min="2572" max="2572" width="1.25" style="46" customWidth="1"/>
    <col min="2573" max="2816" width="9" style="46"/>
    <col min="2817" max="2817" width="3.5" style="46" customWidth="1"/>
    <col min="2818" max="2818" width="6.625" style="46" customWidth="1"/>
    <col min="2819" max="2819" width="4.625" style="46" customWidth="1"/>
    <col min="2820" max="2820" width="12.625" style="46" customWidth="1"/>
    <col min="2821" max="2822" width="14.125" style="46" customWidth="1"/>
    <col min="2823" max="2823" width="7.375" style="46" customWidth="1"/>
    <col min="2824" max="2824" width="6.625" style="46" customWidth="1"/>
    <col min="2825" max="2825" width="7.625" style="46" customWidth="1"/>
    <col min="2826" max="2827" width="7.125" style="46" customWidth="1"/>
    <col min="2828" max="2828" width="1.25" style="46" customWidth="1"/>
    <col min="2829" max="3072" width="9" style="46"/>
    <col min="3073" max="3073" width="3.5" style="46" customWidth="1"/>
    <col min="3074" max="3074" width="6.625" style="46" customWidth="1"/>
    <col min="3075" max="3075" width="4.625" style="46" customWidth="1"/>
    <col min="3076" max="3076" width="12.625" style="46" customWidth="1"/>
    <col min="3077" max="3078" width="14.125" style="46" customWidth="1"/>
    <col min="3079" max="3079" width="7.375" style="46" customWidth="1"/>
    <col min="3080" max="3080" width="6.625" style="46" customWidth="1"/>
    <col min="3081" max="3081" width="7.625" style="46" customWidth="1"/>
    <col min="3082" max="3083" width="7.125" style="46" customWidth="1"/>
    <col min="3084" max="3084" width="1.25" style="46" customWidth="1"/>
    <col min="3085" max="3328" width="9" style="46"/>
    <col min="3329" max="3329" width="3.5" style="46" customWidth="1"/>
    <col min="3330" max="3330" width="6.625" style="46" customWidth="1"/>
    <col min="3331" max="3331" width="4.625" style="46" customWidth="1"/>
    <col min="3332" max="3332" width="12.625" style="46" customWidth="1"/>
    <col min="3333" max="3334" width="14.125" style="46" customWidth="1"/>
    <col min="3335" max="3335" width="7.375" style="46" customWidth="1"/>
    <col min="3336" max="3336" width="6.625" style="46" customWidth="1"/>
    <col min="3337" max="3337" width="7.625" style="46" customWidth="1"/>
    <col min="3338" max="3339" width="7.125" style="46" customWidth="1"/>
    <col min="3340" max="3340" width="1.25" style="46" customWidth="1"/>
    <col min="3341" max="3584" width="9" style="46"/>
    <col min="3585" max="3585" width="3.5" style="46" customWidth="1"/>
    <col min="3586" max="3586" width="6.625" style="46" customWidth="1"/>
    <col min="3587" max="3587" width="4.625" style="46" customWidth="1"/>
    <col min="3588" max="3588" width="12.625" style="46" customWidth="1"/>
    <col min="3589" max="3590" width="14.125" style="46" customWidth="1"/>
    <col min="3591" max="3591" width="7.375" style="46" customWidth="1"/>
    <col min="3592" max="3592" width="6.625" style="46" customWidth="1"/>
    <col min="3593" max="3593" width="7.625" style="46" customWidth="1"/>
    <col min="3594" max="3595" width="7.125" style="46" customWidth="1"/>
    <col min="3596" max="3596" width="1.25" style="46" customWidth="1"/>
    <col min="3597" max="3840" width="9" style="46"/>
    <col min="3841" max="3841" width="3.5" style="46" customWidth="1"/>
    <col min="3842" max="3842" width="6.625" style="46" customWidth="1"/>
    <col min="3843" max="3843" width="4.625" style="46" customWidth="1"/>
    <col min="3844" max="3844" width="12.625" style="46" customWidth="1"/>
    <col min="3845" max="3846" width="14.125" style="46" customWidth="1"/>
    <col min="3847" max="3847" width="7.375" style="46" customWidth="1"/>
    <col min="3848" max="3848" width="6.625" style="46" customWidth="1"/>
    <col min="3849" max="3849" width="7.625" style="46" customWidth="1"/>
    <col min="3850" max="3851" width="7.125" style="46" customWidth="1"/>
    <col min="3852" max="3852" width="1.25" style="46" customWidth="1"/>
    <col min="3853" max="4096" width="9" style="46"/>
    <col min="4097" max="4097" width="3.5" style="46" customWidth="1"/>
    <col min="4098" max="4098" width="6.625" style="46" customWidth="1"/>
    <col min="4099" max="4099" width="4.625" style="46" customWidth="1"/>
    <col min="4100" max="4100" width="12.625" style="46" customWidth="1"/>
    <col min="4101" max="4102" width="14.125" style="46" customWidth="1"/>
    <col min="4103" max="4103" width="7.375" style="46" customWidth="1"/>
    <col min="4104" max="4104" width="6.625" style="46" customWidth="1"/>
    <col min="4105" max="4105" width="7.625" style="46" customWidth="1"/>
    <col min="4106" max="4107" width="7.125" style="46" customWidth="1"/>
    <col min="4108" max="4108" width="1.25" style="46" customWidth="1"/>
    <col min="4109" max="4352" width="9" style="46"/>
    <col min="4353" max="4353" width="3.5" style="46" customWidth="1"/>
    <col min="4354" max="4354" width="6.625" style="46" customWidth="1"/>
    <col min="4355" max="4355" width="4.625" style="46" customWidth="1"/>
    <col min="4356" max="4356" width="12.625" style="46" customWidth="1"/>
    <col min="4357" max="4358" width="14.125" style="46" customWidth="1"/>
    <col min="4359" max="4359" width="7.375" style="46" customWidth="1"/>
    <col min="4360" max="4360" width="6.625" style="46" customWidth="1"/>
    <col min="4361" max="4361" width="7.625" style="46" customWidth="1"/>
    <col min="4362" max="4363" width="7.125" style="46" customWidth="1"/>
    <col min="4364" max="4364" width="1.25" style="46" customWidth="1"/>
    <col min="4365" max="4608" width="9" style="46"/>
    <col min="4609" max="4609" width="3.5" style="46" customWidth="1"/>
    <col min="4610" max="4610" width="6.625" style="46" customWidth="1"/>
    <col min="4611" max="4611" width="4.625" style="46" customWidth="1"/>
    <col min="4612" max="4612" width="12.625" style="46" customWidth="1"/>
    <col min="4613" max="4614" width="14.125" style="46" customWidth="1"/>
    <col min="4615" max="4615" width="7.375" style="46" customWidth="1"/>
    <col min="4616" max="4616" width="6.625" style="46" customWidth="1"/>
    <col min="4617" max="4617" width="7.625" style="46" customWidth="1"/>
    <col min="4618" max="4619" width="7.125" style="46" customWidth="1"/>
    <col min="4620" max="4620" width="1.25" style="46" customWidth="1"/>
    <col min="4621" max="4864" width="9" style="46"/>
    <col min="4865" max="4865" width="3.5" style="46" customWidth="1"/>
    <col min="4866" max="4866" width="6.625" style="46" customWidth="1"/>
    <col min="4867" max="4867" width="4.625" style="46" customWidth="1"/>
    <col min="4868" max="4868" width="12.625" style="46" customWidth="1"/>
    <col min="4869" max="4870" width="14.125" style="46" customWidth="1"/>
    <col min="4871" max="4871" width="7.375" style="46" customWidth="1"/>
    <col min="4872" max="4872" width="6.625" style="46" customWidth="1"/>
    <col min="4873" max="4873" width="7.625" style="46" customWidth="1"/>
    <col min="4874" max="4875" width="7.125" style="46" customWidth="1"/>
    <col min="4876" max="4876" width="1.25" style="46" customWidth="1"/>
    <col min="4877" max="5120" width="9" style="46"/>
    <col min="5121" max="5121" width="3.5" style="46" customWidth="1"/>
    <col min="5122" max="5122" width="6.625" style="46" customWidth="1"/>
    <col min="5123" max="5123" width="4.625" style="46" customWidth="1"/>
    <col min="5124" max="5124" width="12.625" style="46" customWidth="1"/>
    <col min="5125" max="5126" width="14.125" style="46" customWidth="1"/>
    <col min="5127" max="5127" width="7.375" style="46" customWidth="1"/>
    <col min="5128" max="5128" width="6.625" style="46" customWidth="1"/>
    <col min="5129" max="5129" width="7.625" style="46" customWidth="1"/>
    <col min="5130" max="5131" width="7.125" style="46" customWidth="1"/>
    <col min="5132" max="5132" width="1.25" style="46" customWidth="1"/>
    <col min="5133" max="5376" width="9" style="46"/>
    <col min="5377" max="5377" width="3.5" style="46" customWidth="1"/>
    <col min="5378" max="5378" width="6.625" style="46" customWidth="1"/>
    <col min="5379" max="5379" width="4.625" style="46" customWidth="1"/>
    <col min="5380" max="5380" width="12.625" style="46" customWidth="1"/>
    <col min="5381" max="5382" width="14.125" style="46" customWidth="1"/>
    <col min="5383" max="5383" width="7.375" style="46" customWidth="1"/>
    <col min="5384" max="5384" width="6.625" style="46" customWidth="1"/>
    <col min="5385" max="5385" width="7.625" style="46" customWidth="1"/>
    <col min="5386" max="5387" width="7.125" style="46" customWidth="1"/>
    <col min="5388" max="5388" width="1.25" style="46" customWidth="1"/>
    <col min="5389" max="5632" width="9" style="46"/>
    <col min="5633" max="5633" width="3.5" style="46" customWidth="1"/>
    <col min="5634" max="5634" width="6.625" style="46" customWidth="1"/>
    <col min="5635" max="5635" width="4.625" style="46" customWidth="1"/>
    <col min="5636" max="5636" width="12.625" style="46" customWidth="1"/>
    <col min="5637" max="5638" width="14.125" style="46" customWidth="1"/>
    <col min="5639" max="5639" width="7.375" style="46" customWidth="1"/>
    <col min="5640" max="5640" width="6.625" style="46" customWidth="1"/>
    <col min="5641" max="5641" width="7.625" style="46" customWidth="1"/>
    <col min="5642" max="5643" width="7.125" style="46" customWidth="1"/>
    <col min="5644" max="5644" width="1.25" style="46" customWidth="1"/>
    <col min="5645" max="5888" width="9" style="46"/>
    <col min="5889" max="5889" width="3.5" style="46" customWidth="1"/>
    <col min="5890" max="5890" width="6.625" style="46" customWidth="1"/>
    <col min="5891" max="5891" width="4.625" style="46" customWidth="1"/>
    <col min="5892" max="5892" width="12.625" style="46" customWidth="1"/>
    <col min="5893" max="5894" width="14.125" style="46" customWidth="1"/>
    <col min="5895" max="5895" width="7.375" style="46" customWidth="1"/>
    <col min="5896" max="5896" width="6.625" style="46" customWidth="1"/>
    <col min="5897" max="5897" width="7.625" style="46" customWidth="1"/>
    <col min="5898" max="5899" width="7.125" style="46" customWidth="1"/>
    <col min="5900" max="5900" width="1.25" style="46" customWidth="1"/>
    <col min="5901" max="6144" width="9" style="46"/>
    <col min="6145" max="6145" width="3.5" style="46" customWidth="1"/>
    <col min="6146" max="6146" width="6.625" style="46" customWidth="1"/>
    <col min="6147" max="6147" width="4.625" style="46" customWidth="1"/>
    <col min="6148" max="6148" width="12.625" style="46" customWidth="1"/>
    <col min="6149" max="6150" width="14.125" style="46" customWidth="1"/>
    <col min="6151" max="6151" width="7.375" style="46" customWidth="1"/>
    <col min="6152" max="6152" width="6.625" style="46" customWidth="1"/>
    <col min="6153" max="6153" width="7.625" style="46" customWidth="1"/>
    <col min="6154" max="6155" width="7.125" style="46" customWidth="1"/>
    <col min="6156" max="6156" width="1.25" style="46" customWidth="1"/>
    <col min="6157" max="6400" width="9" style="46"/>
    <col min="6401" max="6401" width="3.5" style="46" customWidth="1"/>
    <col min="6402" max="6402" width="6.625" style="46" customWidth="1"/>
    <col min="6403" max="6403" width="4.625" style="46" customWidth="1"/>
    <col min="6404" max="6404" width="12.625" style="46" customWidth="1"/>
    <col min="6405" max="6406" width="14.125" style="46" customWidth="1"/>
    <col min="6407" max="6407" width="7.375" style="46" customWidth="1"/>
    <col min="6408" max="6408" width="6.625" style="46" customWidth="1"/>
    <col min="6409" max="6409" width="7.625" style="46" customWidth="1"/>
    <col min="6410" max="6411" width="7.125" style="46" customWidth="1"/>
    <col min="6412" max="6412" width="1.25" style="46" customWidth="1"/>
    <col min="6413" max="6656" width="9" style="46"/>
    <col min="6657" max="6657" width="3.5" style="46" customWidth="1"/>
    <col min="6658" max="6658" width="6.625" style="46" customWidth="1"/>
    <col min="6659" max="6659" width="4.625" style="46" customWidth="1"/>
    <col min="6660" max="6660" width="12.625" style="46" customWidth="1"/>
    <col min="6661" max="6662" width="14.125" style="46" customWidth="1"/>
    <col min="6663" max="6663" width="7.375" style="46" customWidth="1"/>
    <col min="6664" max="6664" width="6.625" style="46" customWidth="1"/>
    <col min="6665" max="6665" width="7.625" style="46" customWidth="1"/>
    <col min="6666" max="6667" width="7.125" style="46" customWidth="1"/>
    <col min="6668" max="6668" width="1.25" style="46" customWidth="1"/>
    <col min="6669" max="6912" width="9" style="46"/>
    <col min="6913" max="6913" width="3.5" style="46" customWidth="1"/>
    <col min="6914" max="6914" width="6.625" style="46" customWidth="1"/>
    <col min="6915" max="6915" width="4.625" style="46" customWidth="1"/>
    <col min="6916" max="6916" width="12.625" style="46" customWidth="1"/>
    <col min="6917" max="6918" width="14.125" style="46" customWidth="1"/>
    <col min="6919" max="6919" width="7.375" style="46" customWidth="1"/>
    <col min="6920" max="6920" width="6.625" style="46" customWidth="1"/>
    <col min="6921" max="6921" width="7.625" style="46" customWidth="1"/>
    <col min="6922" max="6923" width="7.125" style="46" customWidth="1"/>
    <col min="6924" max="6924" width="1.25" style="46" customWidth="1"/>
    <col min="6925" max="7168" width="9" style="46"/>
    <col min="7169" max="7169" width="3.5" style="46" customWidth="1"/>
    <col min="7170" max="7170" width="6.625" style="46" customWidth="1"/>
    <col min="7171" max="7171" width="4.625" style="46" customWidth="1"/>
    <col min="7172" max="7172" width="12.625" style="46" customWidth="1"/>
    <col min="7173" max="7174" width="14.125" style="46" customWidth="1"/>
    <col min="7175" max="7175" width="7.375" style="46" customWidth="1"/>
    <col min="7176" max="7176" width="6.625" style="46" customWidth="1"/>
    <col min="7177" max="7177" width="7.625" style="46" customWidth="1"/>
    <col min="7178" max="7179" width="7.125" style="46" customWidth="1"/>
    <col min="7180" max="7180" width="1.25" style="46" customWidth="1"/>
    <col min="7181" max="7424" width="9" style="46"/>
    <col min="7425" max="7425" width="3.5" style="46" customWidth="1"/>
    <col min="7426" max="7426" width="6.625" style="46" customWidth="1"/>
    <col min="7427" max="7427" width="4.625" style="46" customWidth="1"/>
    <col min="7428" max="7428" width="12.625" style="46" customWidth="1"/>
    <col min="7429" max="7430" width="14.125" style="46" customWidth="1"/>
    <col min="7431" max="7431" width="7.375" style="46" customWidth="1"/>
    <col min="7432" max="7432" width="6.625" style="46" customWidth="1"/>
    <col min="7433" max="7433" width="7.625" style="46" customWidth="1"/>
    <col min="7434" max="7435" width="7.125" style="46" customWidth="1"/>
    <col min="7436" max="7436" width="1.25" style="46" customWidth="1"/>
    <col min="7437" max="7680" width="9" style="46"/>
    <col min="7681" max="7681" width="3.5" style="46" customWidth="1"/>
    <col min="7682" max="7682" width="6.625" style="46" customWidth="1"/>
    <col min="7683" max="7683" width="4.625" style="46" customWidth="1"/>
    <col min="7684" max="7684" width="12.625" style="46" customWidth="1"/>
    <col min="7685" max="7686" width="14.125" style="46" customWidth="1"/>
    <col min="7687" max="7687" width="7.375" style="46" customWidth="1"/>
    <col min="7688" max="7688" width="6.625" style="46" customWidth="1"/>
    <col min="7689" max="7689" width="7.625" style="46" customWidth="1"/>
    <col min="7690" max="7691" width="7.125" style="46" customWidth="1"/>
    <col min="7692" max="7692" width="1.25" style="46" customWidth="1"/>
    <col min="7693" max="7936" width="9" style="46"/>
    <col min="7937" max="7937" width="3.5" style="46" customWidth="1"/>
    <col min="7938" max="7938" width="6.625" style="46" customWidth="1"/>
    <col min="7939" max="7939" width="4.625" style="46" customWidth="1"/>
    <col min="7940" max="7940" width="12.625" style="46" customWidth="1"/>
    <col min="7941" max="7942" width="14.125" style="46" customWidth="1"/>
    <col min="7943" max="7943" width="7.375" style="46" customWidth="1"/>
    <col min="7944" max="7944" width="6.625" style="46" customWidth="1"/>
    <col min="7945" max="7945" width="7.625" style="46" customWidth="1"/>
    <col min="7946" max="7947" width="7.125" style="46" customWidth="1"/>
    <col min="7948" max="7948" width="1.25" style="46" customWidth="1"/>
    <col min="7949" max="8192" width="9" style="46"/>
    <col min="8193" max="8193" width="3.5" style="46" customWidth="1"/>
    <col min="8194" max="8194" width="6.625" style="46" customWidth="1"/>
    <col min="8195" max="8195" width="4.625" style="46" customWidth="1"/>
    <col min="8196" max="8196" width="12.625" style="46" customWidth="1"/>
    <col min="8197" max="8198" width="14.125" style="46" customWidth="1"/>
    <col min="8199" max="8199" width="7.375" style="46" customWidth="1"/>
    <col min="8200" max="8200" width="6.625" style="46" customWidth="1"/>
    <col min="8201" max="8201" width="7.625" style="46" customWidth="1"/>
    <col min="8202" max="8203" width="7.125" style="46" customWidth="1"/>
    <col min="8204" max="8204" width="1.25" style="46" customWidth="1"/>
    <col min="8205" max="8448" width="9" style="46"/>
    <col min="8449" max="8449" width="3.5" style="46" customWidth="1"/>
    <col min="8450" max="8450" width="6.625" style="46" customWidth="1"/>
    <col min="8451" max="8451" width="4.625" style="46" customWidth="1"/>
    <col min="8452" max="8452" width="12.625" style="46" customWidth="1"/>
    <col min="8453" max="8454" width="14.125" style="46" customWidth="1"/>
    <col min="8455" max="8455" width="7.375" style="46" customWidth="1"/>
    <col min="8456" max="8456" width="6.625" style="46" customWidth="1"/>
    <col min="8457" max="8457" width="7.625" style="46" customWidth="1"/>
    <col min="8458" max="8459" width="7.125" style="46" customWidth="1"/>
    <col min="8460" max="8460" width="1.25" style="46" customWidth="1"/>
    <col min="8461" max="8704" width="9" style="46"/>
    <col min="8705" max="8705" width="3.5" style="46" customWidth="1"/>
    <col min="8706" max="8706" width="6.625" style="46" customWidth="1"/>
    <col min="8707" max="8707" width="4.625" style="46" customWidth="1"/>
    <col min="8708" max="8708" width="12.625" style="46" customWidth="1"/>
    <col min="8709" max="8710" width="14.125" style="46" customWidth="1"/>
    <col min="8711" max="8711" width="7.375" style="46" customWidth="1"/>
    <col min="8712" max="8712" width="6.625" style="46" customWidth="1"/>
    <col min="8713" max="8713" width="7.625" style="46" customWidth="1"/>
    <col min="8714" max="8715" width="7.125" style="46" customWidth="1"/>
    <col min="8716" max="8716" width="1.25" style="46" customWidth="1"/>
    <col min="8717" max="8960" width="9" style="46"/>
    <col min="8961" max="8961" width="3.5" style="46" customWidth="1"/>
    <col min="8962" max="8962" width="6.625" style="46" customWidth="1"/>
    <col min="8963" max="8963" width="4.625" style="46" customWidth="1"/>
    <col min="8964" max="8964" width="12.625" style="46" customWidth="1"/>
    <col min="8965" max="8966" width="14.125" style="46" customWidth="1"/>
    <col min="8967" max="8967" width="7.375" style="46" customWidth="1"/>
    <col min="8968" max="8968" width="6.625" style="46" customWidth="1"/>
    <col min="8969" max="8969" width="7.625" style="46" customWidth="1"/>
    <col min="8970" max="8971" width="7.125" style="46" customWidth="1"/>
    <col min="8972" max="8972" width="1.25" style="46" customWidth="1"/>
    <col min="8973" max="9216" width="9" style="46"/>
    <col min="9217" max="9217" width="3.5" style="46" customWidth="1"/>
    <col min="9218" max="9218" width="6.625" style="46" customWidth="1"/>
    <col min="9219" max="9219" width="4.625" style="46" customWidth="1"/>
    <col min="9220" max="9220" width="12.625" style="46" customWidth="1"/>
    <col min="9221" max="9222" width="14.125" style="46" customWidth="1"/>
    <col min="9223" max="9223" width="7.375" style="46" customWidth="1"/>
    <col min="9224" max="9224" width="6.625" style="46" customWidth="1"/>
    <col min="9225" max="9225" width="7.625" style="46" customWidth="1"/>
    <col min="9226" max="9227" width="7.125" style="46" customWidth="1"/>
    <col min="9228" max="9228" width="1.25" style="46" customWidth="1"/>
    <col min="9229" max="9472" width="9" style="46"/>
    <col min="9473" max="9473" width="3.5" style="46" customWidth="1"/>
    <col min="9474" max="9474" width="6.625" style="46" customWidth="1"/>
    <col min="9475" max="9475" width="4.625" style="46" customWidth="1"/>
    <col min="9476" max="9476" width="12.625" style="46" customWidth="1"/>
    <col min="9477" max="9478" width="14.125" style="46" customWidth="1"/>
    <col min="9479" max="9479" width="7.375" style="46" customWidth="1"/>
    <col min="9480" max="9480" width="6.625" style="46" customWidth="1"/>
    <col min="9481" max="9481" width="7.625" style="46" customWidth="1"/>
    <col min="9482" max="9483" width="7.125" style="46" customWidth="1"/>
    <col min="9484" max="9484" width="1.25" style="46" customWidth="1"/>
    <col min="9485" max="9728" width="9" style="46"/>
    <col min="9729" max="9729" width="3.5" style="46" customWidth="1"/>
    <col min="9730" max="9730" width="6.625" style="46" customWidth="1"/>
    <col min="9731" max="9731" width="4.625" style="46" customWidth="1"/>
    <col min="9732" max="9732" width="12.625" style="46" customWidth="1"/>
    <col min="9733" max="9734" width="14.125" style="46" customWidth="1"/>
    <col min="9735" max="9735" width="7.375" style="46" customWidth="1"/>
    <col min="9736" max="9736" width="6.625" style="46" customWidth="1"/>
    <col min="9737" max="9737" width="7.625" style="46" customWidth="1"/>
    <col min="9738" max="9739" width="7.125" style="46" customWidth="1"/>
    <col min="9740" max="9740" width="1.25" style="46" customWidth="1"/>
    <col min="9741" max="9984" width="9" style="46"/>
    <col min="9985" max="9985" width="3.5" style="46" customWidth="1"/>
    <col min="9986" max="9986" width="6.625" style="46" customWidth="1"/>
    <col min="9987" max="9987" width="4.625" style="46" customWidth="1"/>
    <col min="9988" max="9988" width="12.625" style="46" customWidth="1"/>
    <col min="9989" max="9990" width="14.125" style="46" customWidth="1"/>
    <col min="9991" max="9991" width="7.375" style="46" customWidth="1"/>
    <col min="9992" max="9992" width="6.625" style="46" customWidth="1"/>
    <col min="9993" max="9993" width="7.625" style="46" customWidth="1"/>
    <col min="9994" max="9995" width="7.125" style="46" customWidth="1"/>
    <col min="9996" max="9996" width="1.25" style="46" customWidth="1"/>
    <col min="9997" max="10240" width="9" style="46"/>
    <col min="10241" max="10241" width="3.5" style="46" customWidth="1"/>
    <col min="10242" max="10242" width="6.625" style="46" customWidth="1"/>
    <col min="10243" max="10243" width="4.625" style="46" customWidth="1"/>
    <col min="10244" max="10244" width="12.625" style="46" customWidth="1"/>
    <col min="10245" max="10246" width="14.125" style="46" customWidth="1"/>
    <col min="10247" max="10247" width="7.375" style="46" customWidth="1"/>
    <col min="10248" max="10248" width="6.625" style="46" customWidth="1"/>
    <col min="10249" max="10249" width="7.625" style="46" customWidth="1"/>
    <col min="10250" max="10251" width="7.125" style="46" customWidth="1"/>
    <col min="10252" max="10252" width="1.25" style="46" customWidth="1"/>
    <col min="10253" max="10496" width="9" style="46"/>
    <col min="10497" max="10497" width="3.5" style="46" customWidth="1"/>
    <col min="10498" max="10498" width="6.625" style="46" customWidth="1"/>
    <col min="10499" max="10499" width="4.625" style="46" customWidth="1"/>
    <col min="10500" max="10500" width="12.625" style="46" customWidth="1"/>
    <col min="10501" max="10502" width="14.125" style="46" customWidth="1"/>
    <col min="10503" max="10503" width="7.375" style="46" customWidth="1"/>
    <col min="10504" max="10504" width="6.625" style="46" customWidth="1"/>
    <col min="10505" max="10505" width="7.625" style="46" customWidth="1"/>
    <col min="10506" max="10507" width="7.125" style="46" customWidth="1"/>
    <col min="10508" max="10508" width="1.25" style="46" customWidth="1"/>
    <col min="10509" max="10752" width="9" style="46"/>
    <col min="10753" max="10753" width="3.5" style="46" customWidth="1"/>
    <col min="10754" max="10754" width="6.625" style="46" customWidth="1"/>
    <col min="10755" max="10755" width="4.625" style="46" customWidth="1"/>
    <col min="10756" max="10756" width="12.625" style="46" customWidth="1"/>
    <col min="10757" max="10758" width="14.125" style="46" customWidth="1"/>
    <col min="10759" max="10759" width="7.375" style="46" customWidth="1"/>
    <col min="10760" max="10760" width="6.625" style="46" customWidth="1"/>
    <col min="10761" max="10761" width="7.625" style="46" customWidth="1"/>
    <col min="10762" max="10763" width="7.125" style="46" customWidth="1"/>
    <col min="10764" max="10764" width="1.25" style="46" customWidth="1"/>
    <col min="10765" max="11008" width="9" style="46"/>
    <col min="11009" max="11009" width="3.5" style="46" customWidth="1"/>
    <col min="11010" max="11010" width="6.625" style="46" customWidth="1"/>
    <col min="11011" max="11011" width="4.625" style="46" customWidth="1"/>
    <col min="11012" max="11012" width="12.625" style="46" customWidth="1"/>
    <col min="11013" max="11014" width="14.125" style="46" customWidth="1"/>
    <col min="11015" max="11015" width="7.375" style="46" customWidth="1"/>
    <col min="11016" max="11016" width="6.625" style="46" customWidth="1"/>
    <col min="11017" max="11017" width="7.625" style="46" customWidth="1"/>
    <col min="11018" max="11019" width="7.125" style="46" customWidth="1"/>
    <col min="11020" max="11020" width="1.25" style="46" customWidth="1"/>
    <col min="11021" max="11264" width="9" style="46"/>
    <col min="11265" max="11265" width="3.5" style="46" customWidth="1"/>
    <col min="11266" max="11266" width="6.625" style="46" customWidth="1"/>
    <col min="11267" max="11267" width="4.625" style="46" customWidth="1"/>
    <col min="11268" max="11268" width="12.625" style="46" customWidth="1"/>
    <col min="11269" max="11270" width="14.125" style="46" customWidth="1"/>
    <col min="11271" max="11271" width="7.375" style="46" customWidth="1"/>
    <col min="11272" max="11272" width="6.625" style="46" customWidth="1"/>
    <col min="11273" max="11273" width="7.625" style="46" customWidth="1"/>
    <col min="11274" max="11275" width="7.125" style="46" customWidth="1"/>
    <col min="11276" max="11276" width="1.25" style="46" customWidth="1"/>
    <col min="11277" max="11520" width="9" style="46"/>
    <col min="11521" max="11521" width="3.5" style="46" customWidth="1"/>
    <col min="11522" max="11522" width="6.625" style="46" customWidth="1"/>
    <col min="11523" max="11523" width="4.625" style="46" customWidth="1"/>
    <col min="11524" max="11524" width="12.625" style="46" customWidth="1"/>
    <col min="11525" max="11526" width="14.125" style="46" customWidth="1"/>
    <col min="11527" max="11527" width="7.375" style="46" customWidth="1"/>
    <col min="11528" max="11528" width="6.625" style="46" customWidth="1"/>
    <col min="11529" max="11529" width="7.625" style="46" customWidth="1"/>
    <col min="11530" max="11531" width="7.125" style="46" customWidth="1"/>
    <col min="11532" max="11532" width="1.25" style="46" customWidth="1"/>
    <col min="11533" max="11776" width="9" style="46"/>
    <col min="11777" max="11777" width="3.5" style="46" customWidth="1"/>
    <col min="11778" max="11778" width="6.625" style="46" customWidth="1"/>
    <col min="11779" max="11779" width="4.625" style="46" customWidth="1"/>
    <col min="11780" max="11780" width="12.625" style="46" customWidth="1"/>
    <col min="11781" max="11782" width="14.125" style="46" customWidth="1"/>
    <col min="11783" max="11783" width="7.375" style="46" customWidth="1"/>
    <col min="11784" max="11784" width="6.625" style="46" customWidth="1"/>
    <col min="11785" max="11785" width="7.625" style="46" customWidth="1"/>
    <col min="11786" max="11787" width="7.125" style="46" customWidth="1"/>
    <col min="11788" max="11788" width="1.25" style="46" customWidth="1"/>
    <col min="11789" max="12032" width="9" style="46"/>
    <col min="12033" max="12033" width="3.5" style="46" customWidth="1"/>
    <col min="12034" max="12034" width="6.625" style="46" customWidth="1"/>
    <col min="12035" max="12035" width="4.625" style="46" customWidth="1"/>
    <col min="12036" max="12036" width="12.625" style="46" customWidth="1"/>
    <col min="12037" max="12038" width="14.125" style="46" customWidth="1"/>
    <col min="12039" max="12039" width="7.375" style="46" customWidth="1"/>
    <col min="12040" max="12040" width="6.625" style="46" customWidth="1"/>
    <col min="12041" max="12041" width="7.625" style="46" customWidth="1"/>
    <col min="12042" max="12043" width="7.125" style="46" customWidth="1"/>
    <col min="12044" max="12044" width="1.25" style="46" customWidth="1"/>
    <col min="12045" max="12288" width="9" style="46"/>
    <col min="12289" max="12289" width="3.5" style="46" customWidth="1"/>
    <col min="12290" max="12290" width="6.625" style="46" customWidth="1"/>
    <col min="12291" max="12291" width="4.625" style="46" customWidth="1"/>
    <col min="12292" max="12292" width="12.625" style="46" customWidth="1"/>
    <col min="12293" max="12294" width="14.125" style="46" customWidth="1"/>
    <col min="12295" max="12295" width="7.375" style="46" customWidth="1"/>
    <col min="12296" max="12296" width="6.625" style="46" customWidth="1"/>
    <col min="12297" max="12297" width="7.625" style="46" customWidth="1"/>
    <col min="12298" max="12299" width="7.125" style="46" customWidth="1"/>
    <col min="12300" max="12300" width="1.25" style="46" customWidth="1"/>
    <col min="12301" max="12544" width="9" style="46"/>
    <col min="12545" max="12545" width="3.5" style="46" customWidth="1"/>
    <col min="12546" max="12546" width="6.625" style="46" customWidth="1"/>
    <col min="12547" max="12547" width="4.625" style="46" customWidth="1"/>
    <col min="12548" max="12548" width="12.625" style="46" customWidth="1"/>
    <col min="12549" max="12550" width="14.125" style="46" customWidth="1"/>
    <col min="12551" max="12551" width="7.375" style="46" customWidth="1"/>
    <col min="12552" max="12552" width="6.625" style="46" customWidth="1"/>
    <col min="12553" max="12553" width="7.625" style="46" customWidth="1"/>
    <col min="12554" max="12555" width="7.125" style="46" customWidth="1"/>
    <col min="12556" max="12556" width="1.25" style="46" customWidth="1"/>
    <col min="12557" max="12800" width="9" style="46"/>
    <col min="12801" max="12801" width="3.5" style="46" customWidth="1"/>
    <col min="12802" max="12802" width="6.625" style="46" customWidth="1"/>
    <col min="12803" max="12803" width="4.625" style="46" customWidth="1"/>
    <col min="12804" max="12804" width="12.625" style="46" customWidth="1"/>
    <col min="12805" max="12806" width="14.125" style="46" customWidth="1"/>
    <col min="12807" max="12807" width="7.375" style="46" customWidth="1"/>
    <col min="12808" max="12808" width="6.625" style="46" customWidth="1"/>
    <col min="12809" max="12809" width="7.625" style="46" customWidth="1"/>
    <col min="12810" max="12811" width="7.125" style="46" customWidth="1"/>
    <col min="12812" max="12812" width="1.25" style="46" customWidth="1"/>
    <col min="12813" max="13056" width="9" style="46"/>
    <col min="13057" max="13057" width="3.5" style="46" customWidth="1"/>
    <col min="13058" max="13058" width="6.625" style="46" customWidth="1"/>
    <col min="13059" max="13059" width="4.625" style="46" customWidth="1"/>
    <col min="13060" max="13060" width="12.625" style="46" customWidth="1"/>
    <col min="13061" max="13062" width="14.125" style="46" customWidth="1"/>
    <col min="13063" max="13063" width="7.375" style="46" customWidth="1"/>
    <col min="13064" max="13064" width="6.625" style="46" customWidth="1"/>
    <col min="13065" max="13065" width="7.625" style="46" customWidth="1"/>
    <col min="13066" max="13067" width="7.125" style="46" customWidth="1"/>
    <col min="13068" max="13068" width="1.25" style="46" customWidth="1"/>
    <col min="13069" max="13312" width="9" style="46"/>
    <col min="13313" max="13313" width="3.5" style="46" customWidth="1"/>
    <col min="13314" max="13314" width="6.625" style="46" customWidth="1"/>
    <col min="13315" max="13315" width="4.625" style="46" customWidth="1"/>
    <col min="13316" max="13316" width="12.625" style="46" customWidth="1"/>
    <col min="13317" max="13318" width="14.125" style="46" customWidth="1"/>
    <col min="13319" max="13319" width="7.375" style="46" customWidth="1"/>
    <col min="13320" max="13320" width="6.625" style="46" customWidth="1"/>
    <col min="13321" max="13321" width="7.625" style="46" customWidth="1"/>
    <col min="13322" max="13323" width="7.125" style="46" customWidth="1"/>
    <col min="13324" max="13324" width="1.25" style="46" customWidth="1"/>
    <col min="13325" max="13568" width="9" style="46"/>
    <col min="13569" max="13569" width="3.5" style="46" customWidth="1"/>
    <col min="13570" max="13570" width="6.625" style="46" customWidth="1"/>
    <col min="13571" max="13571" width="4.625" style="46" customWidth="1"/>
    <col min="13572" max="13572" width="12.625" style="46" customWidth="1"/>
    <col min="13573" max="13574" width="14.125" style="46" customWidth="1"/>
    <col min="13575" max="13575" width="7.375" style="46" customWidth="1"/>
    <col min="13576" max="13576" width="6.625" style="46" customWidth="1"/>
    <col min="13577" max="13577" width="7.625" style="46" customWidth="1"/>
    <col min="13578" max="13579" width="7.125" style="46" customWidth="1"/>
    <col min="13580" max="13580" width="1.25" style="46" customWidth="1"/>
    <col min="13581" max="13824" width="9" style="46"/>
    <col min="13825" max="13825" width="3.5" style="46" customWidth="1"/>
    <col min="13826" max="13826" width="6.625" style="46" customWidth="1"/>
    <col min="13827" max="13827" width="4.625" style="46" customWidth="1"/>
    <col min="13828" max="13828" width="12.625" style="46" customWidth="1"/>
    <col min="13829" max="13830" width="14.125" style="46" customWidth="1"/>
    <col min="13831" max="13831" width="7.375" style="46" customWidth="1"/>
    <col min="13832" max="13832" width="6.625" style="46" customWidth="1"/>
    <col min="13833" max="13833" width="7.625" style="46" customWidth="1"/>
    <col min="13834" max="13835" width="7.125" style="46" customWidth="1"/>
    <col min="13836" max="13836" width="1.25" style="46" customWidth="1"/>
    <col min="13837" max="14080" width="9" style="46"/>
    <col min="14081" max="14081" width="3.5" style="46" customWidth="1"/>
    <col min="14082" max="14082" width="6.625" style="46" customWidth="1"/>
    <col min="14083" max="14083" width="4.625" style="46" customWidth="1"/>
    <col min="14084" max="14084" width="12.625" style="46" customWidth="1"/>
    <col min="14085" max="14086" width="14.125" style="46" customWidth="1"/>
    <col min="14087" max="14087" width="7.375" style="46" customWidth="1"/>
    <col min="14088" max="14088" width="6.625" style="46" customWidth="1"/>
    <col min="14089" max="14089" width="7.625" style="46" customWidth="1"/>
    <col min="14090" max="14091" width="7.125" style="46" customWidth="1"/>
    <col min="14092" max="14092" width="1.25" style="46" customWidth="1"/>
    <col min="14093" max="14336" width="9" style="46"/>
    <col min="14337" max="14337" width="3.5" style="46" customWidth="1"/>
    <col min="14338" max="14338" width="6.625" style="46" customWidth="1"/>
    <col min="14339" max="14339" width="4.625" style="46" customWidth="1"/>
    <col min="14340" max="14340" width="12.625" style="46" customWidth="1"/>
    <col min="14341" max="14342" width="14.125" style="46" customWidth="1"/>
    <col min="14343" max="14343" width="7.375" style="46" customWidth="1"/>
    <col min="14344" max="14344" width="6.625" style="46" customWidth="1"/>
    <col min="14345" max="14345" width="7.625" style="46" customWidth="1"/>
    <col min="14346" max="14347" width="7.125" style="46" customWidth="1"/>
    <col min="14348" max="14348" width="1.25" style="46" customWidth="1"/>
    <col min="14349" max="14592" width="9" style="46"/>
    <col min="14593" max="14593" width="3.5" style="46" customWidth="1"/>
    <col min="14594" max="14594" width="6.625" style="46" customWidth="1"/>
    <col min="14595" max="14595" width="4.625" style="46" customWidth="1"/>
    <col min="14596" max="14596" width="12.625" style="46" customWidth="1"/>
    <col min="14597" max="14598" width="14.125" style="46" customWidth="1"/>
    <col min="14599" max="14599" width="7.375" style="46" customWidth="1"/>
    <col min="14600" max="14600" width="6.625" style="46" customWidth="1"/>
    <col min="14601" max="14601" width="7.625" style="46" customWidth="1"/>
    <col min="14602" max="14603" width="7.125" style="46" customWidth="1"/>
    <col min="14604" max="14604" width="1.25" style="46" customWidth="1"/>
    <col min="14605" max="14848" width="9" style="46"/>
    <col min="14849" max="14849" width="3.5" style="46" customWidth="1"/>
    <col min="14850" max="14850" width="6.625" style="46" customWidth="1"/>
    <col min="14851" max="14851" width="4.625" style="46" customWidth="1"/>
    <col min="14852" max="14852" width="12.625" style="46" customWidth="1"/>
    <col min="14853" max="14854" width="14.125" style="46" customWidth="1"/>
    <col min="14855" max="14855" width="7.375" style="46" customWidth="1"/>
    <col min="14856" max="14856" width="6.625" style="46" customWidth="1"/>
    <col min="14857" max="14857" width="7.625" style="46" customWidth="1"/>
    <col min="14858" max="14859" width="7.125" style="46" customWidth="1"/>
    <col min="14860" max="14860" width="1.25" style="46" customWidth="1"/>
    <col min="14861" max="15104" width="9" style="46"/>
    <col min="15105" max="15105" width="3.5" style="46" customWidth="1"/>
    <col min="15106" max="15106" width="6.625" style="46" customWidth="1"/>
    <col min="15107" max="15107" width="4.625" style="46" customWidth="1"/>
    <col min="15108" max="15108" width="12.625" style="46" customWidth="1"/>
    <col min="15109" max="15110" width="14.125" style="46" customWidth="1"/>
    <col min="15111" max="15111" width="7.375" style="46" customWidth="1"/>
    <col min="15112" max="15112" width="6.625" style="46" customWidth="1"/>
    <col min="15113" max="15113" width="7.625" style="46" customWidth="1"/>
    <col min="15114" max="15115" width="7.125" style="46" customWidth="1"/>
    <col min="15116" max="15116" width="1.25" style="46" customWidth="1"/>
    <col min="15117" max="15360" width="9" style="46"/>
    <col min="15361" max="15361" width="3.5" style="46" customWidth="1"/>
    <col min="15362" max="15362" width="6.625" style="46" customWidth="1"/>
    <col min="15363" max="15363" width="4.625" style="46" customWidth="1"/>
    <col min="15364" max="15364" width="12.625" style="46" customWidth="1"/>
    <col min="15365" max="15366" width="14.125" style="46" customWidth="1"/>
    <col min="15367" max="15367" width="7.375" style="46" customWidth="1"/>
    <col min="15368" max="15368" width="6.625" style="46" customWidth="1"/>
    <col min="15369" max="15369" width="7.625" style="46" customWidth="1"/>
    <col min="15370" max="15371" width="7.125" style="46" customWidth="1"/>
    <col min="15372" max="15372" width="1.25" style="46" customWidth="1"/>
    <col min="15373" max="15616" width="9" style="46"/>
    <col min="15617" max="15617" width="3.5" style="46" customWidth="1"/>
    <col min="15618" max="15618" width="6.625" style="46" customWidth="1"/>
    <col min="15619" max="15619" width="4.625" style="46" customWidth="1"/>
    <col min="15620" max="15620" width="12.625" style="46" customWidth="1"/>
    <col min="15621" max="15622" width="14.125" style="46" customWidth="1"/>
    <col min="15623" max="15623" width="7.375" style="46" customWidth="1"/>
    <col min="15624" max="15624" width="6.625" style="46" customWidth="1"/>
    <col min="15625" max="15625" width="7.625" style="46" customWidth="1"/>
    <col min="15626" max="15627" width="7.125" style="46" customWidth="1"/>
    <col min="15628" max="15628" width="1.25" style="46" customWidth="1"/>
    <col min="15629" max="15872" width="9" style="46"/>
    <col min="15873" max="15873" width="3.5" style="46" customWidth="1"/>
    <col min="15874" max="15874" width="6.625" style="46" customWidth="1"/>
    <col min="15875" max="15875" width="4.625" style="46" customWidth="1"/>
    <col min="15876" max="15876" width="12.625" style="46" customWidth="1"/>
    <col min="15877" max="15878" width="14.125" style="46" customWidth="1"/>
    <col min="15879" max="15879" width="7.375" style="46" customWidth="1"/>
    <col min="15880" max="15880" width="6.625" style="46" customWidth="1"/>
    <col min="15881" max="15881" width="7.625" style="46" customWidth="1"/>
    <col min="15882" max="15883" width="7.125" style="46" customWidth="1"/>
    <col min="15884" max="15884" width="1.25" style="46" customWidth="1"/>
    <col min="15885" max="16128" width="9" style="46"/>
    <col min="16129" max="16129" width="3.5" style="46" customWidth="1"/>
    <col min="16130" max="16130" width="6.625" style="46" customWidth="1"/>
    <col min="16131" max="16131" width="4.625" style="46" customWidth="1"/>
    <col min="16132" max="16132" width="12.625" style="46" customWidth="1"/>
    <col min="16133" max="16134" width="14.125" style="46" customWidth="1"/>
    <col min="16135" max="16135" width="7.375" style="46" customWidth="1"/>
    <col min="16136" max="16136" width="6.625" style="46" customWidth="1"/>
    <col min="16137" max="16137" width="7.625" style="46" customWidth="1"/>
    <col min="16138" max="16139" width="7.125" style="46" customWidth="1"/>
    <col min="16140" max="16140" width="1.25" style="46" customWidth="1"/>
    <col min="16141" max="16384" width="9" style="46"/>
  </cols>
  <sheetData>
    <row r="1" spans="1:14" ht="30" customHeight="1">
      <c r="A1" s="323" t="s">
        <v>335</v>
      </c>
    </row>
    <row r="2" spans="1:14" s="150" customFormat="1" ht="18" customHeight="1">
      <c r="B2" s="404" t="s">
        <v>336</v>
      </c>
      <c r="C2" s="154"/>
      <c r="D2" s="402"/>
      <c r="E2" s="154"/>
      <c r="F2" s="154"/>
      <c r="G2" s="403"/>
      <c r="H2" s="403"/>
      <c r="J2" s="405"/>
      <c r="K2" s="405" t="s">
        <v>337</v>
      </c>
    </row>
    <row r="3" spans="1:14" s="150" customFormat="1" ht="18" customHeight="1">
      <c r="B3" s="512" t="s">
        <v>338</v>
      </c>
      <c r="C3" s="514" t="s">
        <v>339</v>
      </c>
      <c r="D3" s="516" t="s">
        <v>340</v>
      </c>
      <c r="E3" s="506" t="s">
        <v>341</v>
      </c>
      <c r="F3" s="506" t="s">
        <v>342</v>
      </c>
      <c r="G3" s="517" t="s">
        <v>343</v>
      </c>
      <c r="H3" s="517"/>
      <c r="I3" s="506" t="s">
        <v>344</v>
      </c>
      <c r="J3" s="506"/>
      <c r="K3" s="506"/>
    </row>
    <row r="4" spans="1:14" s="13" customFormat="1" ht="24" customHeight="1">
      <c r="B4" s="513"/>
      <c r="C4" s="515"/>
      <c r="D4" s="516"/>
      <c r="E4" s="506"/>
      <c r="F4" s="506"/>
      <c r="G4" s="406" t="s">
        <v>345</v>
      </c>
      <c r="H4" s="407" t="s">
        <v>346</v>
      </c>
      <c r="I4" s="408" t="s">
        <v>347</v>
      </c>
      <c r="J4" s="409" t="s">
        <v>348</v>
      </c>
      <c r="K4" s="410" t="s">
        <v>349</v>
      </c>
    </row>
    <row r="5" spans="1:14" s="13" customFormat="1" ht="18" customHeight="1">
      <c r="B5" s="411"/>
      <c r="C5" s="412">
        <v>8</v>
      </c>
      <c r="D5" s="413" t="s">
        <v>350</v>
      </c>
      <c r="E5" s="414" t="s">
        <v>351</v>
      </c>
      <c r="F5" s="415" t="s">
        <v>352</v>
      </c>
      <c r="G5" s="416">
        <v>100925</v>
      </c>
      <c r="H5" s="417">
        <v>100925</v>
      </c>
      <c r="I5" s="418">
        <v>8324</v>
      </c>
      <c r="J5" s="419">
        <v>8324</v>
      </c>
      <c r="K5" s="420">
        <v>8324</v>
      </c>
    </row>
    <row r="6" spans="1:14" s="13" customFormat="1" ht="18" customHeight="1">
      <c r="B6" s="411" t="s">
        <v>353</v>
      </c>
      <c r="C6" s="421">
        <v>305</v>
      </c>
      <c r="D6" s="422" t="s">
        <v>354</v>
      </c>
      <c r="E6" s="423" t="s">
        <v>355</v>
      </c>
      <c r="F6" s="424" t="s">
        <v>356</v>
      </c>
      <c r="G6" s="425">
        <v>107562</v>
      </c>
      <c r="H6" s="426">
        <v>107492</v>
      </c>
      <c r="I6" s="427">
        <v>10208</v>
      </c>
      <c r="J6" s="428">
        <v>10208</v>
      </c>
      <c r="K6" s="429">
        <v>10208</v>
      </c>
    </row>
    <row r="7" spans="1:14" s="13" customFormat="1" ht="18" customHeight="1">
      <c r="B7" s="430"/>
      <c r="C7" s="431">
        <v>364</v>
      </c>
      <c r="D7" s="432" t="s">
        <v>357</v>
      </c>
      <c r="E7" s="433" t="s">
        <v>358</v>
      </c>
      <c r="F7" s="434" t="s">
        <v>359</v>
      </c>
      <c r="G7" s="435">
        <v>54963</v>
      </c>
      <c r="H7" s="436">
        <v>31915</v>
      </c>
      <c r="I7" s="437">
        <v>15124</v>
      </c>
      <c r="J7" s="438">
        <v>14966</v>
      </c>
      <c r="K7" s="439">
        <v>11762</v>
      </c>
      <c r="M7" s="399"/>
    </row>
    <row r="8" spans="1:14" s="13" customFormat="1" ht="18" customHeight="1">
      <c r="B8" s="507" t="s">
        <v>360</v>
      </c>
      <c r="C8" s="440">
        <v>5</v>
      </c>
      <c r="D8" s="441" t="s">
        <v>361</v>
      </c>
      <c r="E8" s="442" t="s">
        <v>362</v>
      </c>
      <c r="F8" s="443" t="s">
        <v>359</v>
      </c>
      <c r="G8" s="444">
        <v>32919</v>
      </c>
      <c r="H8" s="445">
        <v>22742</v>
      </c>
      <c r="I8" s="418">
        <v>7692</v>
      </c>
      <c r="J8" s="446">
        <v>7692</v>
      </c>
      <c r="K8" s="447">
        <v>7692</v>
      </c>
    </row>
    <row r="9" spans="1:14" s="13" customFormat="1" ht="18" customHeight="1">
      <c r="B9" s="508"/>
      <c r="C9" s="421">
        <v>7</v>
      </c>
      <c r="D9" s="422" t="s">
        <v>363</v>
      </c>
      <c r="E9" s="423" t="s">
        <v>364</v>
      </c>
      <c r="F9" s="424" t="s">
        <v>365</v>
      </c>
      <c r="G9" s="425">
        <v>12775</v>
      </c>
      <c r="H9" s="426">
        <v>11521</v>
      </c>
      <c r="I9" s="427">
        <v>11521</v>
      </c>
      <c r="J9" s="428">
        <v>11521</v>
      </c>
      <c r="K9" s="429">
        <v>11521</v>
      </c>
    </row>
    <row r="10" spans="1:14" s="13" customFormat="1" ht="18" customHeight="1">
      <c r="B10" s="508"/>
      <c r="C10" s="421">
        <v>9</v>
      </c>
      <c r="D10" s="422" t="s">
        <v>366</v>
      </c>
      <c r="E10" s="448" t="s">
        <v>367</v>
      </c>
      <c r="F10" s="449" t="s">
        <v>368</v>
      </c>
      <c r="G10" s="450">
        <v>12046</v>
      </c>
      <c r="H10" s="451">
        <v>12046</v>
      </c>
      <c r="I10" s="427">
        <v>4204</v>
      </c>
      <c r="J10" s="428">
        <v>4204</v>
      </c>
      <c r="K10" s="429">
        <v>4204</v>
      </c>
    </row>
    <row r="11" spans="1:14" s="13" customFormat="1" ht="18" customHeight="1">
      <c r="B11" s="508"/>
      <c r="C11" s="421">
        <v>10</v>
      </c>
      <c r="D11" s="422" t="s">
        <v>369</v>
      </c>
      <c r="E11" s="448" t="s">
        <v>370</v>
      </c>
      <c r="F11" s="449" t="s">
        <v>371</v>
      </c>
      <c r="G11" s="450">
        <v>24499</v>
      </c>
      <c r="H11" s="451">
        <v>24422</v>
      </c>
      <c r="I11" s="427">
        <f>21547+631</f>
        <v>22178</v>
      </c>
      <c r="J11" s="428">
        <f>21547+631</f>
        <v>22178</v>
      </c>
      <c r="K11" s="429">
        <f>21567+631</f>
        <v>22198</v>
      </c>
    </row>
    <row r="12" spans="1:14" s="13" customFormat="1" ht="18" customHeight="1">
      <c r="B12" s="508"/>
      <c r="C12" s="421">
        <v>17</v>
      </c>
      <c r="D12" s="422" t="s">
        <v>372</v>
      </c>
      <c r="E12" s="423" t="s">
        <v>373</v>
      </c>
      <c r="F12" s="424" t="s">
        <v>374</v>
      </c>
      <c r="G12" s="425">
        <v>37940</v>
      </c>
      <c r="H12" s="426">
        <v>32760</v>
      </c>
      <c r="I12" s="427">
        <f>7960+7685</f>
        <v>15645</v>
      </c>
      <c r="J12" s="428">
        <f>7960+7685</f>
        <v>15645</v>
      </c>
      <c r="K12" s="429">
        <f>7960+7685</f>
        <v>15645</v>
      </c>
    </row>
    <row r="13" spans="1:14" s="13" customFormat="1" ht="18" customHeight="1">
      <c r="B13" s="508"/>
      <c r="C13" s="421">
        <v>20</v>
      </c>
      <c r="D13" s="422" t="s">
        <v>375</v>
      </c>
      <c r="E13" s="423" t="s">
        <v>376</v>
      </c>
      <c r="F13" s="424" t="s">
        <v>377</v>
      </c>
      <c r="G13" s="425">
        <v>7467</v>
      </c>
      <c r="H13" s="426">
        <v>7467</v>
      </c>
      <c r="I13" s="427">
        <v>7467</v>
      </c>
      <c r="J13" s="428">
        <v>7467</v>
      </c>
      <c r="K13" s="429">
        <v>7467</v>
      </c>
    </row>
    <row r="14" spans="1:14" s="13" customFormat="1" ht="18" customHeight="1">
      <c r="B14" s="508"/>
      <c r="C14" s="421">
        <v>29</v>
      </c>
      <c r="D14" s="422" t="s">
        <v>378</v>
      </c>
      <c r="E14" s="448" t="s">
        <v>379</v>
      </c>
      <c r="F14" s="449" t="s">
        <v>380</v>
      </c>
      <c r="G14" s="450">
        <v>24166</v>
      </c>
      <c r="H14" s="451">
        <v>23763</v>
      </c>
      <c r="I14" s="427">
        <f>8095+1795</f>
        <v>9890</v>
      </c>
      <c r="J14" s="428">
        <f>8095+1795</f>
        <v>9890</v>
      </c>
      <c r="K14" s="429">
        <f>8095+1795</f>
        <v>9890</v>
      </c>
    </row>
    <row r="15" spans="1:14" s="13" customFormat="1" ht="18" customHeight="1">
      <c r="B15" s="508"/>
      <c r="C15" s="421">
        <v>30</v>
      </c>
      <c r="D15" s="422" t="s">
        <v>381</v>
      </c>
      <c r="E15" s="423" t="s">
        <v>382</v>
      </c>
      <c r="F15" s="424" t="s">
        <v>383</v>
      </c>
      <c r="G15" s="425">
        <v>11079</v>
      </c>
      <c r="H15" s="426">
        <v>11035</v>
      </c>
      <c r="I15" s="450">
        <v>3149</v>
      </c>
      <c r="J15" s="452">
        <v>3149</v>
      </c>
      <c r="K15" s="451">
        <v>3149</v>
      </c>
    </row>
    <row r="16" spans="1:14" s="13" customFormat="1" ht="18" customHeight="1">
      <c r="B16" s="509"/>
      <c r="C16" s="431">
        <v>38</v>
      </c>
      <c r="D16" s="432" t="s">
        <v>384</v>
      </c>
      <c r="E16" s="433" t="s">
        <v>383</v>
      </c>
      <c r="F16" s="434" t="s">
        <v>385</v>
      </c>
      <c r="G16" s="435">
        <v>1527</v>
      </c>
      <c r="H16" s="436">
        <v>1394</v>
      </c>
      <c r="I16" s="453">
        <v>1394</v>
      </c>
      <c r="J16" s="454">
        <v>1394</v>
      </c>
      <c r="K16" s="455">
        <v>1394</v>
      </c>
      <c r="N16" s="399"/>
    </row>
    <row r="17" spans="2:11" s="13" customFormat="1" ht="18" customHeight="1">
      <c r="B17" s="510" t="s">
        <v>386</v>
      </c>
      <c r="C17" s="440">
        <v>101</v>
      </c>
      <c r="D17" s="441" t="s">
        <v>387</v>
      </c>
      <c r="E17" s="456" t="s">
        <v>364</v>
      </c>
      <c r="F17" s="457" t="s">
        <v>388</v>
      </c>
      <c r="G17" s="458">
        <v>6381</v>
      </c>
      <c r="H17" s="417">
        <v>6262</v>
      </c>
      <c r="I17" s="444">
        <f>H17-3866</f>
        <v>2396</v>
      </c>
      <c r="J17" s="459">
        <v>2396</v>
      </c>
      <c r="K17" s="445">
        <v>2396</v>
      </c>
    </row>
    <row r="18" spans="2:11" ht="18" customHeight="1">
      <c r="B18" s="508"/>
      <c r="C18" s="421">
        <v>102</v>
      </c>
      <c r="D18" s="422" t="s">
        <v>389</v>
      </c>
      <c r="E18" s="423" t="s">
        <v>390</v>
      </c>
      <c r="F18" s="424" t="s">
        <v>391</v>
      </c>
      <c r="G18" s="425">
        <v>6560</v>
      </c>
      <c r="H18" s="426">
        <v>4432</v>
      </c>
      <c r="I18" s="460">
        <v>4432</v>
      </c>
      <c r="J18" s="461">
        <v>4432</v>
      </c>
      <c r="K18" s="462">
        <v>4432</v>
      </c>
    </row>
    <row r="19" spans="2:11" ht="18" customHeight="1">
      <c r="B19" s="508"/>
      <c r="C19" s="421">
        <v>103</v>
      </c>
      <c r="D19" s="422" t="s">
        <v>392</v>
      </c>
      <c r="E19" s="448" t="s">
        <v>393</v>
      </c>
      <c r="F19" s="449" t="s">
        <v>394</v>
      </c>
      <c r="G19" s="450">
        <v>15983</v>
      </c>
      <c r="H19" s="451">
        <v>15290</v>
      </c>
      <c r="I19" s="460">
        <f>H19-6604</f>
        <v>8686</v>
      </c>
      <c r="J19" s="461">
        <v>8686</v>
      </c>
      <c r="K19" s="462">
        <f>I19-188-29</f>
        <v>8469</v>
      </c>
    </row>
    <row r="20" spans="2:11" ht="18" customHeight="1">
      <c r="B20" s="508"/>
      <c r="C20" s="421">
        <v>106</v>
      </c>
      <c r="D20" s="422" t="s">
        <v>395</v>
      </c>
      <c r="E20" s="448" t="s">
        <v>396</v>
      </c>
      <c r="F20" s="449" t="s">
        <v>397</v>
      </c>
      <c r="G20" s="450">
        <v>12314</v>
      </c>
      <c r="H20" s="451">
        <v>10974</v>
      </c>
      <c r="I20" s="460">
        <v>10974</v>
      </c>
      <c r="J20" s="461">
        <v>10974</v>
      </c>
      <c r="K20" s="462">
        <f>H20-498</f>
        <v>10476</v>
      </c>
    </row>
    <row r="21" spans="2:11" ht="18" customHeight="1">
      <c r="B21" s="508"/>
      <c r="C21" s="421">
        <v>108</v>
      </c>
      <c r="D21" s="422" t="s">
        <v>398</v>
      </c>
      <c r="E21" s="448" t="s">
        <v>399</v>
      </c>
      <c r="F21" s="449" t="s">
        <v>400</v>
      </c>
      <c r="G21" s="450">
        <v>8613</v>
      </c>
      <c r="H21" s="451">
        <v>5796</v>
      </c>
      <c r="I21" s="460">
        <v>5796</v>
      </c>
      <c r="J21" s="461">
        <v>5796</v>
      </c>
      <c r="K21" s="462">
        <v>5331</v>
      </c>
    </row>
    <row r="22" spans="2:11" ht="18" customHeight="1">
      <c r="B22" s="508"/>
      <c r="C22" s="421">
        <v>109</v>
      </c>
      <c r="D22" s="422" t="s">
        <v>401</v>
      </c>
      <c r="E22" s="448" t="s">
        <v>402</v>
      </c>
      <c r="F22" s="449" t="s">
        <v>403</v>
      </c>
      <c r="G22" s="450">
        <v>12602</v>
      </c>
      <c r="H22" s="451">
        <v>10594</v>
      </c>
      <c r="I22" s="460">
        <f>H22-2212</f>
        <v>8382</v>
      </c>
      <c r="J22" s="461">
        <v>8382</v>
      </c>
      <c r="K22" s="462">
        <f>I22-2097</f>
        <v>6285</v>
      </c>
    </row>
    <row r="23" spans="2:11" ht="18" customHeight="1">
      <c r="B23" s="508"/>
      <c r="C23" s="421">
        <v>110</v>
      </c>
      <c r="D23" s="422" t="s">
        <v>404</v>
      </c>
      <c r="E23" s="423" t="s">
        <v>405</v>
      </c>
      <c r="F23" s="424" t="s">
        <v>406</v>
      </c>
      <c r="G23" s="425">
        <v>13109</v>
      </c>
      <c r="H23" s="426">
        <v>13071</v>
      </c>
      <c r="I23" s="460">
        <f>H23-3921-2066</f>
        <v>7084</v>
      </c>
      <c r="J23" s="461">
        <v>7084</v>
      </c>
      <c r="K23" s="462">
        <f>I23-2429</f>
        <v>4655</v>
      </c>
    </row>
    <row r="24" spans="2:11" ht="18" customHeight="1">
      <c r="B24" s="508"/>
      <c r="C24" s="421">
        <v>112</v>
      </c>
      <c r="D24" s="422" t="s">
        <v>407</v>
      </c>
      <c r="E24" s="423" t="s">
        <v>408</v>
      </c>
      <c r="F24" s="424" t="s">
        <v>409</v>
      </c>
      <c r="G24" s="425">
        <v>31058</v>
      </c>
      <c r="H24" s="426">
        <v>21955</v>
      </c>
      <c r="I24" s="460">
        <v>5136</v>
      </c>
      <c r="J24" s="461">
        <v>4830</v>
      </c>
      <c r="K24" s="462">
        <v>5136</v>
      </c>
    </row>
    <row r="25" spans="2:11" ht="18" customHeight="1">
      <c r="B25" s="508"/>
      <c r="C25" s="421">
        <v>119</v>
      </c>
      <c r="D25" s="422" t="s">
        <v>410</v>
      </c>
      <c r="E25" s="423" t="s">
        <v>411</v>
      </c>
      <c r="F25" s="424" t="s">
        <v>412</v>
      </c>
      <c r="G25" s="425">
        <v>383</v>
      </c>
      <c r="H25" s="426">
        <v>383</v>
      </c>
      <c r="I25" s="460">
        <v>383</v>
      </c>
      <c r="J25" s="461">
        <v>383</v>
      </c>
      <c r="K25" s="462">
        <v>383</v>
      </c>
    </row>
    <row r="26" spans="2:11" ht="18" customHeight="1">
      <c r="B26" s="508"/>
      <c r="C26" s="421">
        <v>147</v>
      </c>
      <c r="D26" s="422" t="s">
        <v>413</v>
      </c>
      <c r="E26" s="423" t="s">
        <v>414</v>
      </c>
      <c r="F26" s="424" t="s">
        <v>383</v>
      </c>
      <c r="G26" s="425">
        <v>4633</v>
      </c>
      <c r="H26" s="426">
        <v>1881</v>
      </c>
      <c r="I26" s="460">
        <v>1881</v>
      </c>
      <c r="J26" s="461">
        <v>1881</v>
      </c>
      <c r="K26" s="462">
        <v>1881</v>
      </c>
    </row>
    <row r="27" spans="2:11" ht="18" customHeight="1">
      <c r="B27" s="508"/>
      <c r="C27" s="421">
        <v>151</v>
      </c>
      <c r="D27" s="422" t="s">
        <v>415</v>
      </c>
      <c r="E27" s="423" t="s">
        <v>416</v>
      </c>
      <c r="F27" s="424" t="s">
        <v>417</v>
      </c>
      <c r="G27" s="425">
        <v>956</v>
      </c>
      <c r="H27" s="426">
        <v>953</v>
      </c>
      <c r="I27" s="460">
        <v>953</v>
      </c>
      <c r="J27" s="461">
        <v>953</v>
      </c>
      <c r="K27" s="462">
        <v>198</v>
      </c>
    </row>
    <row r="28" spans="2:11" ht="18" customHeight="1">
      <c r="B28" s="508"/>
      <c r="C28" s="421">
        <v>152</v>
      </c>
      <c r="D28" s="423" t="s">
        <v>418</v>
      </c>
      <c r="E28" s="423" t="s">
        <v>419</v>
      </c>
      <c r="F28" s="424" t="s">
        <v>365</v>
      </c>
      <c r="G28" s="425">
        <v>4211</v>
      </c>
      <c r="H28" s="426">
        <v>4211</v>
      </c>
      <c r="I28" s="460">
        <v>1898</v>
      </c>
      <c r="J28" s="461">
        <v>1898</v>
      </c>
      <c r="K28" s="462">
        <v>1898</v>
      </c>
    </row>
    <row r="29" spans="2:11" ht="18" customHeight="1">
      <c r="B29" s="508"/>
      <c r="C29" s="421">
        <v>154</v>
      </c>
      <c r="D29" s="422" t="s">
        <v>420</v>
      </c>
      <c r="E29" s="448" t="s">
        <v>421</v>
      </c>
      <c r="F29" s="449" t="s">
        <v>422</v>
      </c>
      <c r="G29" s="450">
        <v>10702</v>
      </c>
      <c r="H29" s="451">
        <v>10218</v>
      </c>
      <c r="I29" s="460">
        <v>7848</v>
      </c>
      <c r="J29" s="461">
        <v>7848</v>
      </c>
      <c r="K29" s="462">
        <v>4679</v>
      </c>
    </row>
    <row r="30" spans="2:11" ht="18" customHeight="1">
      <c r="B30" s="508"/>
      <c r="C30" s="421">
        <v>155</v>
      </c>
      <c r="D30" s="422" t="s">
        <v>423</v>
      </c>
      <c r="E30" s="423" t="s">
        <v>424</v>
      </c>
      <c r="F30" s="424" t="s">
        <v>425</v>
      </c>
      <c r="G30" s="425">
        <v>6049</v>
      </c>
      <c r="H30" s="426">
        <v>5993</v>
      </c>
      <c r="I30" s="460">
        <v>268</v>
      </c>
      <c r="J30" s="461">
        <v>268</v>
      </c>
      <c r="K30" s="462">
        <v>268</v>
      </c>
    </row>
    <row r="31" spans="2:11" ht="18" customHeight="1">
      <c r="B31" s="508"/>
      <c r="C31" s="421">
        <v>156</v>
      </c>
      <c r="D31" s="422" t="s">
        <v>426</v>
      </c>
      <c r="E31" s="423" t="s">
        <v>427</v>
      </c>
      <c r="F31" s="424" t="s">
        <v>376</v>
      </c>
      <c r="G31" s="425">
        <v>7528</v>
      </c>
      <c r="H31" s="426">
        <v>7416</v>
      </c>
      <c r="I31" s="460">
        <v>4885</v>
      </c>
      <c r="J31" s="461">
        <v>4885</v>
      </c>
      <c r="K31" s="462">
        <v>4885</v>
      </c>
    </row>
    <row r="32" spans="2:11" ht="18" customHeight="1">
      <c r="B32" s="508"/>
      <c r="C32" s="421">
        <v>159</v>
      </c>
      <c r="D32" s="422" t="s">
        <v>428</v>
      </c>
      <c r="E32" s="448" t="s">
        <v>429</v>
      </c>
      <c r="F32" s="449" t="s">
        <v>405</v>
      </c>
      <c r="G32" s="450">
        <v>5230</v>
      </c>
      <c r="H32" s="451">
        <v>5223</v>
      </c>
      <c r="I32" s="460">
        <v>2757</v>
      </c>
      <c r="J32" s="461">
        <v>2757</v>
      </c>
      <c r="K32" s="462">
        <v>2757</v>
      </c>
    </row>
    <row r="33" spans="2:11" ht="18" customHeight="1">
      <c r="B33" s="508"/>
      <c r="C33" s="421">
        <v>160</v>
      </c>
      <c r="D33" s="422" t="s">
        <v>430</v>
      </c>
      <c r="E33" s="423" t="s">
        <v>431</v>
      </c>
      <c r="F33" s="424" t="s">
        <v>432</v>
      </c>
      <c r="G33" s="425">
        <v>8854</v>
      </c>
      <c r="H33" s="426">
        <v>8506</v>
      </c>
      <c r="I33" s="460">
        <v>8506</v>
      </c>
      <c r="J33" s="461">
        <v>8506</v>
      </c>
      <c r="K33" s="462">
        <v>8010</v>
      </c>
    </row>
    <row r="34" spans="2:11" ht="18" customHeight="1">
      <c r="B34" s="508"/>
      <c r="C34" s="421">
        <v>163</v>
      </c>
      <c r="D34" s="422" t="s">
        <v>433</v>
      </c>
      <c r="E34" s="423" t="s">
        <v>434</v>
      </c>
      <c r="F34" s="424" t="s">
        <v>435</v>
      </c>
      <c r="G34" s="425">
        <v>1892</v>
      </c>
      <c r="H34" s="426">
        <v>1892</v>
      </c>
      <c r="I34" s="460">
        <v>1892</v>
      </c>
      <c r="J34" s="461">
        <v>1892</v>
      </c>
      <c r="K34" s="462">
        <v>1892</v>
      </c>
    </row>
    <row r="35" spans="2:11" ht="18" customHeight="1">
      <c r="B35" s="508"/>
      <c r="C35" s="421">
        <v>166</v>
      </c>
      <c r="D35" s="422" t="s">
        <v>436</v>
      </c>
      <c r="E35" s="423" t="s">
        <v>437</v>
      </c>
      <c r="F35" s="424" t="s">
        <v>438</v>
      </c>
      <c r="G35" s="425">
        <v>9501</v>
      </c>
      <c r="H35" s="426">
        <v>7656</v>
      </c>
      <c r="I35" s="460">
        <v>2269</v>
      </c>
      <c r="J35" s="461">
        <v>2269</v>
      </c>
      <c r="K35" s="462">
        <v>0</v>
      </c>
    </row>
    <row r="36" spans="2:11" ht="18" customHeight="1">
      <c r="B36" s="508"/>
      <c r="C36" s="421">
        <v>167</v>
      </c>
      <c r="D36" s="422" t="s">
        <v>439</v>
      </c>
      <c r="E36" s="423" t="s">
        <v>440</v>
      </c>
      <c r="F36" s="424" t="s">
        <v>440</v>
      </c>
      <c r="G36" s="425">
        <v>3651</v>
      </c>
      <c r="H36" s="426">
        <v>3419</v>
      </c>
      <c r="I36" s="460">
        <v>3419</v>
      </c>
      <c r="J36" s="461">
        <v>3419</v>
      </c>
      <c r="K36" s="462">
        <v>3419</v>
      </c>
    </row>
    <row r="37" spans="2:11" ht="18" customHeight="1">
      <c r="B37" s="508"/>
      <c r="C37" s="421">
        <v>226</v>
      </c>
      <c r="D37" s="422" t="s">
        <v>441</v>
      </c>
      <c r="E37" s="423" t="s">
        <v>411</v>
      </c>
      <c r="F37" s="424" t="s">
        <v>442</v>
      </c>
      <c r="G37" s="425">
        <v>1157</v>
      </c>
      <c r="H37" s="426">
        <v>1137</v>
      </c>
      <c r="I37" s="460">
        <v>1137</v>
      </c>
      <c r="J37" s="461">
        <v>1137</v>
      </c>
      <c r="K37" s="462">
        <v>1137</v>
      </c>
    </row>
    <row r="38" spans="2:11" ht="18" customHeight="1">
      <c r="B38" s="508"/>
      <c r="C38" s="421">
        <v>232</v>
      </c>
      <c r="D38" s="423" t="s">
        <v>443</v>
      </c>
      <c r="E38" s="423" t="s">
        <v>444</v>
      </c>
      <c r="F38" s="424" t="s">
        <v>445</v>
      </c>
      <c r="G38" s="425">
        <v>11085</v>
      </c>
      <c r="H38" s="426">
        <v>176</v>
      </c>
      <c r="I38" s="460">
        <v>0</v>
      </c>
      <c r="J38" s="461">
        <v>0</v>
      </c>
      <c r="K38" s="462">
        <v>0</v>
      </c>
    </row>
    <row r="39" spans="2:11" ht="18" customHeight="1">
      <c r="B39" s="508"/>
      <c r="C39" s="421">
        <v>234</v>
      </c>
      <c r="D39" s="422" t="s">
        <v>446</v>
      </c>
      <c r="E39" s="423" t="s">
        <v>447</v>
      </c>
      <c r="F39" s="424" t="s">
        <v>448</v>
      </c>
      <c r="G39" s="425">
        <v>969</v>
      </c>
      <c r="H39" s="426">
        <v>800</v>
      </c>
      <c r="I39" s="460">
        <v>800</v>
      </c>
      <c r="J39" s="461">
        <v>800</v>
      </c>
      <c r="K39" s="462">
        <v>800</v>
      </c>
    </row>
    <row r="40" spans="2:11" ht="18" customHeight="1">
      <c r="B40" s="508"/>
      <c r="C40" s="421">
        <v>256</v>
      </c>
      <c r="D40" s="422" t="s">
        <v>449</v>
      </c>
      <c r="E40" s="423" t="s">
        <v>376</v>
      </c>
      <c r="F40" s="424" t="s">
        <v>450</v>
      </c>
      <c r="G40" s="425">
        <v>4768</v>
      </c>
      <c r="H40" s="426">
        <v>4768</v>
      </c>
      <c r="I40" s="460">
        <v>3340</v>
      </c>
      <c r="J40" s="461">
        <v>3340</v>
      </c>
      <c r="K40" s="462">
        <v>3340</v>
      </c>
    </row>
    <row r="41" spans="2:11" ht="18" customHeight="1">
      <c r="B41" s="508"/>
      <c r="C41" s="421">
        <v>257</v>
      </c>
      <c r="D41" s="422" t="s">
        <v>451</v>
      </c>
      <c r="E41" s="448" t="s">
        <v>429</v>
      </c>
      <c r="F41" s="449" t="s">
        <v>452</v>
      </c>
      <c r="G41" s="450">
        <v>3548</v>
      </c>
      <c r="H41" s="451">
        <v>1719</v>
      </c>
      <c r="I41" s="460">
        <v>1719</v>
      </c>
      <c r="J41" s="461">
        <v>1719</v>
      </c>
      <c r="K41" s="462">
        <v>1719</v>
      </c>
    </row>
    <row r="42" spans="2:11" ht="18" customHeight="1">
      <c r="B42" s="511"/>
      <c r="C42" s="431">
        <v>259</v>
      </c>
      <c r="D42" s="432" t="s">
        <v>453</v>
      </c>
      <c r="E42" s="433" t="s">
        <v>454</v>
      </c>
      <c r="F42" s="434" t="s">
        <v>455</v>
      </c>
      <c r="G42" s="463">
        <v>3587</v>
      </c>
      <c r="H42" s="464">
        <v>3587</v>
      </c>
      <c r="I42" s="465">
        <v>3587</v>
      </c>
      <c r="J42" s="466">
        <v>3587</v>
      </c>
      <c r="K42" s="467">
        <v>3587</v>
      </c>
    </row>
    <row r="43" spans="2:11" ht="15" customHeight="1">
      <c r="B43" s="150"/>
      <c r="C43" s="150"/>
      <c r="D43" s="150"/>
      <c r="E43" s="150"/>
      <c r="F43" s="150"/>
      <c r="I43" s="468"/>
      <c r="K43" s="186" t="s">
        <v>456</v>
      </c>
    </row>
    <row r="44" spans="2:11">
      <c r="B44" s="46"/>
      <c r="C44" s="150"/>
      <c r="D44" s="150"/>
      <c r="E44" s="150"/>
      <c r="F44" s="150"/>
      <c r="K44" s="186" t="s">
        <v>457</v>
      </c>
    </row>
  </sheetData>
  <mergeCells count="9">
    <mergeCell ref="I3:K3"/>
    <mergeCell ref="B8:B16"/>
    <mergeCell ref="B17:B42"/>
    <mergeCell ref="B3:B4"/>
    <mergeCell ref="C3:C4"/>
    <mergeCell ref="D3:D4"/>
    <mergeCell ref="E3:E4"/>
    <mergeCell ref="F3:F4"/>
    <mergeCell ref="G3:H3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&amp;R15.交通・通信</oddHeader>
    <oddFooter>&amp;C-101-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zoomScaleNormal="100" workbookViewId="0">
      <selection activeCell="D22" sqref="D22"/>
    </sheetView>
  </sheetViews>
  <sheetFormatPr defaultRowHeight="11.25"/>
  <cols>
    <col min="1" max="1" width="3.625" style="150" customWidth="1"/>
    <col min="2" max="2" width="8.625" style="199" customWidth="1"/>
    <col min="3" max="3" width="5.625" style="339" customWidth="1"/>
    <col min="4" max="4" width="9.125" style="150" customWidth="1"/>
    <col min="5" max="13" width="8.125" style="150" customWidth="1"/>
    <col min="14" max="16384" width="9" style="150"/>
  </cols>
  <sheetData>
    <row r="1" spans="1:13" ht="30" customHeight="1">
      <c r="A1" s="149" t="s">
        <v>303</v>
      </c>
    </row>
    <row r="2" spans="1:13" ht="18" customHeight="1">
      <c r="B2" s="371"/>
      <c r="C2" s="372"/>
      <c r="D2" s="240"/>
      <c r="E2" s="240"/>
      <c r="F2" s="240"/>
      <c r="G2" s="240"/>
      <c r="H2" s="240"/>
      <c r="I2" s="240"/>
      <c r="J2" s="240"/>
      <c r="K2" s="240"/>
      <c r="L2" s="240"/>
      <c r="M2" s="373" t="s">
        <v>192</v>
      </c>
    </row>
    <row r="3" spans="1:13" s="200" customFormat="1" ht="24" customHeight="1">
      <c r="B3" s="374" t="s">
        <v>248</v>
      </c>
      <c r="C3" s="374" t="s">
        <v>214</v>
      </c>
      <c r="D3" s="375" t="s">
        <v>219</v>
      </c>
      <c r="E3" s="375" t="s">
        <v>304</v>
      </c>
      <c r="F3" s="375" t="s">
        <v>305</v>
      </c>
      <c r="G3" s="375" t="s">
        <v>306</v>
      </c>
      <c r="H3" s="375" t="s">
        <v>307</v>
      </c>
      <c r="I3" s="375" t="s">
        <v>308</v>
      </c>
      <c r="J3" s="375" t="s">
        <v>309</v>
      </c>
      <c r="K3" s="376" t="s">
        <v>310</v>
      </c>
      <c r="L3" s="375" t="s">
        <v>311</v>
      </c>
      <c r="M3" s="375" t="s">
        <v>312</v>
      </c>
    </row>
    <row r="4" spans="1:13" s="200" customFormat="1" ht="18" customHeight="1">
      <c r="B4" s="518" t="s">
        <v>313</v>
      </c>
      <c r="C4" s="377" t="s">
        <v>314</v>
      </c>
      <c r="D4" s="378">
        <f t="shared" ref="D4:D11" si="0">SUM(E4:M4)</f>
        <v>8428831</v>
      </c>
      <c r="E4" s="379">
        <v>569912</v>
      </c>
      <c r="F4" s="379">
        <v>778993</v>
      </c>
      <c r="G4" s="379">
        <v>1276285</v>
      </c>
      <c r="H4" s="379">
        <v>1363082</v>
      </c>
      <c r="I4" s="379">
        <v>879726</v>
      </c>
      <c r="J4" s="379">
        <v>844608</v>
      </c>
      <c r="K4" s="380" t="s">
        <v>33</v>
      </c>
      <c r="L4" s="379">
        <v>297692</v>
      </c>
      <c r="M4" s="379">
        <v>2418533</v>
      </c>
    </row>
    <row r="5" spans="1:13" s="200" customFormat="1" ht="18" customHeight="1">
      <c r="B5" s="519"/>
      <c r="C5" s="381" t="s">
        <v>315</v>
      </c>
      <c r="D5" s="382">
        <f t="shared" si="0"/>
        <v>8466003</v>
      </c>
      <c r="E5" s="383">
        <v>562020</v>
      </c>
      <c r="F5" s="383">
        <v>713554</v>
      </c>
      <c r="G5" s="383">
        <v>1329154</v>
      </c>
      <c r="H5" s="383">
        <v>1509152</v>
      </c>
      <c r="I5" s="383">
        <v>833372</v>
      </c>
      <c r="J5" s="383">
        <v>800973</v>
      </c>
      <c r="K5" s="384" t="s">
        <v>316</v>
      </c>
      <c r="L5" s="383">
        <v>289974</v>
      </c>
      <c r="M5" s="383">
        <v>2427804</v>
      </c>
    </row>
    <row r="6" spans="1:13" s="200" customFormat="1" ht="18" customHeight="1">
      <c r="B6" s="518" t="s">
        <v>317</v>
      </c>
      <c r="C6" s="377" t="s">
        <v>314</v>
      </c>
      <c r="D6" s="378">
        <f t="shared" si="0"/>
        <v>8467250</v>
      </c>
      <c r="E6" s="379">
        <v>561966</v>
      </c>
      <c r="F6" s="379">
        <v>788195</v>
      </c>
      <c r="G6" s="379">
        <v>1292067</v>
      </c>
      <c r="H6" s="379">
        <v>1377831</v>
      </c>
      <c r="I6" s="379">
        <v>895203</v>
      </c>
      <c r="J6" s="379">
        <v>850081</v>
      </c>
      <c r="K6" s="380" t="s">
        <v>316</v>
      </c>
      <c r="L6" s="379">
        <v>287056</v>
      </c>
      <c r="M6" s="379">
        <v>2414851</v>
      </c>
    </row>
    <row r="7" spans="1:13" s="200" customFormat="1" ht="18" customHeight="1">
      <c r="B7" s="519"/>
      <c r="C7" s="381" t="s">
        <v>315</v>
      </c>
      <c r="D7" s="382">
        <f t="shared" si="0"/>
        <v>8507465</v>
      </c>
      <c r="E7" s="383">
        <v>557158</v>
      </c>
      <c r="F7" s="383">
        <v>718510</v>
      </c>
      <c r="G7" s="383">
        <v>1348330</v>
      </c>
      <c r="H7" s="383">
        <v>1507866</v>
      </c>
      <c r="I7" s="383">
        <v>852577</v>
      </c>
      <c r="J7" s="383">
        <v>805424</v>
      </c>
      <c r="K7" s="384" t="s">
        <v>316</v>
      </c>
      <c r="L7" s="383">
        <v>276184</v>
      </c>
      <c r="M7" s="383">
        <v>2441416</v>
      </c>
    </row>
    <row r="8" spans="1:13" s="200" customFormat="1" ht="18" customHeight="1">
      <c r="B8" s="518" t="s">
        <v>318</v>
      </c>
      <c r="C8" s="377" t="s">
        <v>314</v>
      </c>
      <c r="D8" s="378">
        <f t="shared" si="0"/>
        <v>8543642</v>
      </c>
      <c r="E8" s="379">
        <v>561256</v>
      </c>
      <c r="F8" s="379">
        <v>819769</v>
      </c>
      <c r="G8" s="379">
        <v>1328057</v>
      </c>
      <c r="H8" s="379">
        <v>1383398</v>
      </c>
      <c r="I8" s="379">
        <v>913312</v>
      </c>
      <c r="J8" s="379">
        <v>846665</v>
      </c>
      <c r="K8" s="380" t="s">
        <v>316</v>
      </c>
      <c r="L8" s="379">
        <v>284400</v>
      </c>
      <c r="M8" s="379">
        <v>2406785</v>
      </c>
    </row>
    <row r="9" spans="1:13" s="200" customFormat="1" ht="18" customHeight="1">
      <c r="B9" s="519"/>
      <c r="C9" s="381" t="s">
        <v>315</v>
      </c>
      <c r="D9" s="382">
        <f t="shared" si="0"/>
        <v>8591646</v>
      </c>
      <c r="E9" s="383">
        <v>557293</v>
      </c>
      <c r="F9" s="383">
        <v>755546</v>
      </c>
      <c r="G9" s="383">
        <v>1401307</v>
      </c>
      <c r="H9" s="383">
        <v>1522094</v>
      </c>
      <c r="I9" s="383">
        <v>865543</v>
      </c>
      <c r="J9" s="383">
        <v>808438</v>
      </c>
      <c r="K9" s="384" t="s">
        <v>316</v>
      </c>
      <c r="L9" s="383">
        <v>274420</v>
      </c>
      <c r="M9" s="383">
        <v>2407005</v>
      </c>
    </row>
    <row r="10" spans="1:13" s="200" customFormat="1" ht="18" customHeight="1">
      <c r="B10" s="518" t="s">
        <v>319</v>
      </c>
      <c r="C10" s="377" t="s">
        <v>314</v>
      </c>
      <c r="D10" s="378">
        <f t="shared" si="0"/>
        <v>8640896</v>
      </c>
      <c r="E10" s="378">
        <v>562768</v>
      </c>
      <c r="F10" s="378">
        <v>824031</v>
      </c>
      <c r="G10" s="378">
        <v>1359655</v>
      </c>
      <c r="H10" s="378">
        <v>1402561</v>
      </c>
      <c r="I10" s="378">
        <v>938183</v>
      </c>
      <c r="J10" s="378">
        <v>856948</v>
      </c>
      <c r="K10" s="380" t="s">
        <v>316</v>
      </c>
      <c r="L10" s="378">
        <v>288600</v>
      </c>
      <c r="M10" s="378">
        <v>2408150</v>
      </c>
    </row>
    <row r="11" spans="1:13" s="200" customFormat="1" ht="18" customHeight="1">
      <c r="B11" s="519"/>
      <c r="C11" s="381" t="s">
        <v>315</v>
      </c>
      <c r="D11" s="382">
        <f t="shared" si="0"/>
        <v>8682408</v>
      </c>
      <c r="E11" s="382">
        <v>550750</v>
      </c>
      <c r="F11" s="382">
        <v>754498</v>
      </c>
      <c r="G11" s="382">
        <v>1430033</v>
      </c>
      <c r="H11" s="382">
        <v>1545037</v>
      </c>
      <c r="I11" s="382">
        <v>889358</v>
      </c>
      <c r="J11" s="382">
        <v>818214</v>
      </c>
      <c r="K11" s="384" t="s">
        <v>316</v>
      </c>
      <c r="L11" s="382">
        <v>277004</v>
      </c>
      <c r="M11" s="382">
        <v>2417514</v>
      </c>
    </row>
    <row r="12" spans="1:13" s="199" customFormat="1" ht="20.25" customHeight="1">
      <c r="B12" s="518" t="s">
        <v>320</v>
      </c>
      <c r="C12" s="377" t="s">
        <v>314</v>
      </c>
      <c r="D12" s="385">
        <v>8408715</v>
      </c>
      <c r="E12" s="385">
        <v>547037</v>
      </c>
      <c r="F12" s="385">
        <v>809885</v>
      </c>
      <c r="G12" s="385">
        <v>1357761</v>
      </c>
      <c r="H12" s="385">
        <v>1361682</v>
      </c>
      <c r="I12" s="385">
        <v>911099</v>
      </c>
      <c r="J12" s="385">
        <v>835706</v>
      </c>
      <c r="K12" s="386" t="s">
        <v>316</v>
      </c>
      <c r="L12" s="385">
        <v>259343</v>
      </c>
      <c r="M12" s="385">
        <v>2326202</v>
      </c>
    </row>
    <row r="13" spans="1:13" s="199" customFormat="1" ht="20.25" customHeight="1">
      <c r="B13" s="519"/>
      <c r="C13" s="381" t="s">
        <v>315</v>
      </c>
      <c r="D13" s="387">
        <v>8474216</v>
      </c>
      <c r="E13" s="387">
        <v>539738</v>
      </c>
      <c r="F13" s="387">
        <v>741510</v>
      </c>
      <c r="G13" s="387">
        <v>1436164</v>
      </c>
      <c r="H13" s="387">
        <v>1512667</v>
      </c>
      <c r="I13" s="387">
        <v>853664</v>
      </c>
      <c r="J13" s="387">
        <v>796487</v>
      </c>
      <c r="K13" s="388" t="s">
        <v>316</v>
      </c>
      <c r="L13" s="387">
        <v>246975</v>
      </c>
      <c r="M13" s="387">
        <v>2347011</v>
      </c>
    </row>
    <row r="14" spans="1:13" s="199" customFormat="1" ht="20.25" customHeight="1">
      <c r="B14" s="518" t="s">
        <v>321</v>
      </c>
      <c r="C14" s="377" t="s">
        <v>314</v>
      </c>
      <c r="D14" s="385">
        <v>8313733</v>
      </c>
      <c r="E14" s="385">
        <v>536097</v>
      </c>
      <c r="F14" s="385">
        <v>800752</v>
      </c>
      <c r="G14" s="385">
        <v>1322898</v>
      </c>
      <c r="H14" s="385">
        <v>1347635</v>
      </c>
      <c r="I14" s="385">
        <v>916470</v>
      </c>
      <c r="J14" s="385">
        <v>835640</v>
      </c>
      <c r="K14" s="386" t="s">
        <v>316</v>
      </c>
      <c r="L14" s="385">
        <v>253861</v>
      </c>
      <c r="M14" s="385">
        <v>2300380</v>
      </c>
    </row>
    <row r="15" spans="1:13" s="199" customFormat="1" ht="20.25" customHeight="1">
      <c r="B15" s="519"/>
      <c r="C15" s="381" t="s">
        <v>315</v>
      </c>
      <c r="D15" s="387">
        <v>8350519</v>
      </c>
      <c r="E15" s="387">
        <v>521626</v>
      </c>
      <c r="F15" s="387">
        <v>731001</v>
      </c>
      <c r="G15" s="387">
        <v>1398479</v>
      </c>
      <c r="H15" s="387">
        <v>1491222</v>
      </c>
      <c r="I15" s="387">
        <v>857459</v>
      </c>
      <c r="J15" s="387">
        <v>798053</v>
      </c>
      <c r="K15" s="388" t="s">
        <v>316</v>
      </c>
      <c r="L15" s="387">
        <v>241060</v>
      </c>
      <c r="M15" s="387">
        <v>2311619</v>
      </c>
    </row>
    <row r="16" spans="1:13" s="199" customFormat="1" ht="20.25" customHeight="1">
      <c r="B16" s="518" t="s">
        <v>322</v>
      </c>
      <c r="C16" s="377" t="s">
        <v>314</v>
      </c>
      <c r="D16" s="385">
        <v>8367054</v>
      </c>
      <c r="E16" s="385">
        <v>531411</v>
      </c>
      <c r="F16" s="385">
        <v>841050</v>
      </c>
      <c r="G16" s="385">
        <v>1332178</v>
      </c>
      <c r="H16" s="385">
        <v>1326783</v>
      </c>
      <c r="I16" s="385">
        <v>989168</v>
      </c>
      <c r="J16" s="385">
        <v>897533</v>
      </c>
      <c r="K16" s="386" t="s">
        <v>316</v>
      </c>
      <c r="L16" s="385">
        <v>232095</v>
      </c>
      <c r="M16" s="385">
        <v>2216836</v>
      </c>
    </row>
    <row r="17" spans="2:14" s="13" customFormat="1" ht="20.25" customHeight="1">
      <c r="B17" s="519"/>
      <c r="C17" s="381" t="s">
        <v>315</v>
      </c>
      <c r="D17" s="387">
        <v>8425424</v>
      </c>
      <c r="E17" s="387">
        <v>518311</v>
      </c>
      <c r="F17" s="387">
        <v>776080</v>
      </c>
      <c r="G17" s="387">
        <v>1420759</v>
      </c>
      <c r="H17" s="387">
        <v>1497934</v>
      </c>
      <c r="I17" s="387">
        <v>903129</v>
      </c>
      <c r="J17" s="387">
        <v>856209</v>
      </c>
      <c r="K17" s="388" t="s">
        <v>316</v>
      </c>
      <c r="L17" s="387">
        <v>223217</v>
      </c>
      <c r="M17" s="387">
        <v>2229785</v>
      </c>
    </row>
    <row r="18" spans="2:14" s="13" customFormat="1" ht="20.25" customHeight="1">
      <c r="B18" s="518" t="s">
        <v>323</v>
      </c>
      <c r="C18" s="377" t="s">
        <v>314</v>
      </c>
      <c r="D18" s="389">
        <v>8488947</v>
      </c>
      <c r="E18" s="389">
        <v>564820</v>
      </c>
      <c r="F18" s="389">
        <v>838508</v>
      </c>
      <c r="G18" s="389">
        <v>1343047</v>
      </c>
      <c r="H18" s="389">
        <v>1335218</v>
      </c>
      <c r="I18" s="389">
        <v>1006805</v>
      </c>
      <c r="J18" s="389">
        <v>900600</v>
      </c>
      <c r="K18" s="390" t="s">
        <v>316</v>
      </c>
      <c r="L18" s="389">
        <v>241908</v>
      </c>
      <c r="M18" s="389">
        <v>2258041</v>
      </c>
    </row>
    <row r="19" spans="2:14" s="13" customFormat="1" ht="20.25" customHeight="1">
      <c r="B19" s="519"/>
      <c r="C19" s="381" t="s">
        <v>315</v>
      </c>
      <c r="D19" s="391">
        <v>8542418</v>
      </c>
      <c r="E19" s="391">
        <v>543997</v>
      </c>
      <c r="F19" s="391">
        <v>777317</v>
      </c>
      <c r="G19" s="391">
        <v>1440752</v>
      </c>
      <c r="H19" s="391">
        <v>1506112</v>
      </c>
      <c r="I19" s="391">
        <v>920747</v>
      </c>
      <c r="J19" s="391">
        <v>857320</v>
      </c>
      <c r="K19" s="392" t="s">
        <v>316</v>
      </c>
      <c r="L19" s="391">
        <v>225452</v>
      </c>
      <c r="M19" s="391">
        <v>2270721</v>
      </c>
    </row>
    <row r="20" spans="2:14" s="13" customFormat="1" ht="20.25" customHeight="1">
      <c r="B20" s="518" t="s">
        <v>324</v>
      </c>
      <c r="C20" s="377" t="s">
        <v>314</v>
      </c>
      <c r="D20" s="520">
        <v>17802366</v>
      </c>
      <c r="E20" s="389">
        <v>583586</v>
      </c>
      <c r="F20" s="389">
        <v>869678</v>
      </c>
      <c r="G20" s="389">
        <v>1389700</v>
      </c>
      <c r="H20" s="389">
        <v>1381198</v>
      </c>
      <c r="I20" s="389">
        <v>1040233</v>
      </c>
      <c r="J20" s="389">
        <v>945690</v>
      </c>
      <c r="K20" s="520">
        <v>48479</v>
      </c>
      <c r="L20" s="389">
        <v>255254</v>
      </c>
      <c r="M20" s="389">
        <v>2380187</v>
      </c>
    </row>
    <row r="21" spans="2:14" s="13" customFormat="1" ht="20.25" customHeight="1">
      <c r="B21" s="519"/>
      <c r="C21" s="381" t="s">
        <v>315</v>
      </c>
      <c r="D21" s="521"/>
      <c r="E21" s="391">
        <v>554936</v>
      </c>
      <c r="F21" s="391">
        <v>812457</v>
      </c>
      <c r="G21" s="391">
        <v>1485301</v>
      </c>
      <c r="H21" s="391">
        <v>1549018</v>
      </c>
      <c r="I21" s="391">
        <v>967476</v>
      </c>
      <c r="J21" s="391">
        <v>901395</v>
      </c>
      <c r="K21" s="521"/>
      <c r="L21" s="391">
        <v>236560</v>
      </c>
      <c r="M21" s="391">
        <v>2401218</v>
      </c>
    </row>
    <row r="22" spans="2:14" s="13" customFormat="1" ht="20.25" customHeight="1">
      <c r="B22" s="393" t="s">
        <v>325</v>
      </c>
      <c r="C22" s="394"/>
      <c r="D22" s="395">
        <f t="shared" ref="D22:D28" si="1">SUM(E22:M22)</f>
        <v>17848994</v>
      </c>
      <c r="E22" s="395">
        <v>1134244</v>
      </c>
      <c r="F22" s="395">
        <v>1689113</v>
      </c>
      <c r="G22" s="395">
        <v>2900876</v>
      </c>
      <c r="H22" s="395">
        <v>2904771</v>
      </c>
      <c r="I22" s="395">
        <v>2049842</v>
      </c>
      <c r="J22" s="395">
        <v>1857407</v>
      </c>
      <c r="K22" s="395">
        <v>61821</v>
      </c>
      <c r="L22" s="395">
        <v>486373</v>
      </c>
      <c r="M22" s="395">
        <v>4764547</v>
      </c>
    </row>
    <row r="23" spans="2:14" s="13" customFormat="1" ht="20.25" customHeight="1">
      <c r="B23" s="393" t="s">
        <v>326</v>
      </c>
      <c r="C23" s="394"/>
      <c r="D23" s="395">
        <f t="shared" si="1"/>
        <v>17431366</v>
      </c>
      <c r="E23" s="395">
        <v>1102202</v>
      </c>
      <c r="F23" s="395">
        <v>1645335</v>
      </c>
      <c r="G23" s="395">
        <v>2847829</v>
      </c>
      <c r="H23" s="395">
        <v>2831242</v>
      </c>
      <c r="I23" s="395">
        <v>2007314</v>
      </c>
      <c r="J23" s="395">
        <v>1787378</v>
      </c>
      <c r="K23" s="395">
        <v>32368</v>
      </c>
      <c r="L23" s="395">
        <v>471893</v>
      </c>
      <c r="M23" s="395">
        <v>4705805</v>
      </c>
    </row>
    <row r="24" spans="2:14" s="13" customFormat="1" ht="20.25" customHeight="1">
      <c r="B24" s="393" t="s">
        <v>327</v>
      </c>
      <c r="C24" s="394"/>
      <c r="D24" s="395">
        <f t="shared" si="1"/>
        <v>18472278</v>
      </c>
      <c r="E24" s="395">
        <v>1151224</v>
      </c>
      <c r="F24" s="395">
        <v>1758765</v>
      </c>
      <c r="G24" s="395">
        <v>3101286</v>
      </c>
      <c r="H24" s="395">
        <v>3084610</v>
      </c>
      <c r="I24" s="395">
        <v>2103762</v>
      </c>
      <c r="J24" s="395">
        <v>1758595</v>
      </c>
      <c r="K24" s="395">
        <v>88949</v>
      </c>
      <c r="L24" s="395">
        <v>435222</v>
      </c>
      <c r="M24" s="395">
        <v>4989865</v>
      </c>
    </row>
    <row r="25" spans="2:14" s="13" customFormat="1" ht="20.25" customHeight="1">
      <c r="B25" s="393" t="s">
        <v>237</v>
      </c>
      <c r="C25" s="394"/>
      <c r="D25" s="395">
        <f t="shared" si="1"/>
        <v>19170160</v>
      </c>
      <c r="E25" s="395">
        <v>1180548</v>
      </c>
      <c r="F25" s="395">
        <v>1842164</v>
      </c>
      <c r="G25" s="395">
        <v>3201934</v>
      </c>
      <c r="H25" s="395">
        <v>3247842</v>
      </c>
      <c r="I25" s="395">
        <v>2211768</v>
      </c>
      <c r="J25" s="395">
        <v>1783555</v>
      </c>
      <c r="K25" s="395">
        <v>149858</v>
      </c>
      <c r="L25" s="395">
        <v>393949</v>
      </c>
      <c r="M25" s="395">
        <v>5158542</v>
      </c>
    </row>
    <row r="26" spans="2:14" s="369" customFormat="1" ht="20.25" customHeight="1">
      <c r="B26" s="396" t="s">
        <v>328</v>
      </c>
      <c r="C26" s="397"/>
      <c r="D26" s="395">
        <f t="shared" si="1"/>
        <v>19500814</v>
      </c>
      <c r="E26" s="395">
        <v>1180653</v>
      </c>
      <c r="F26" s="395">
        <v>1868314</v>
      </c>
      <c r="G26" s="395">
        <v>3245369</v>
      </c>
      <c r="H26" s="395">
        <v>3348683</v>
      </c>
      <c r="I26" s="395">
        <v>2277686</v>
      </c>
      <c r="J26" s="395">
        <v>1861148</v>
      </c>
      <c r="K26" s="395">
        <v>164824</v>
      </c>
      <c r="L26" s="395">
        <v>426220</v>
      </c>
      <c r="M26" s="395">
        <v>5127917</v>
      </c>
    </row>
    <row r="27" spans="2:14" s="369" customFormat="1" ht="20.25" customHeight="1">
      <c r="B27" s="396" t="s">
        <v>329</v>
      </c>
      <c r="C27" s="397"/>
      <c r="D27" s="395">
        <f t="shared" si="1"/>
        <v>19993748</v>
      </c>
      <c r="E27" s="395">
        <v>1211600</v>
      </c>
      <c r="F27" s="395">
        <v>1915169</v>
      </c>
      <c r="G27" s="395">
        <v>3319801</v>
      </c>
      <c r="H27" s="395">
        <v>3421577</v>
      </c>
      <c r="I27" s="395">
        <v>2380810</v>
      </c>
      <c r="J27" s="395">
        <v>1887132</v>
      </c>
      <c r="K27" s="395">
        <v>178657</v>
      </c>
      <c r="L27" s="395">
        <v>434555</v>
      </c>
      <c r="M27" s="395">
        <v>5244447</v>
      </c>
    </row>
    <row r="28" spans="2:14" s="369" customFormat="1" ht="20.25" customHeight="1">
      <c r="B28" s="396" t="s">
        <v>330</v>
      </c>
      <c r="C28" s="397"/>
      <c r="D28" s="395">
        <f t="shared" si="1"/>
        <v>20549589</v>
      </c>
      <c r="E28" s="395">
        <v>1211258</v>
      </c>
      <c r="F28" s="395">
        <v>1978053</v>
      </c>
      <c r="G28" s="395">
        <v>3499350</v>
      </c>
      <c r="H28" s="395">
        <v>3472704</v>
      </c>
      <c r="I28" s="395">
        <v>2456915</v>
      </c>
      <c r="J28" s="395">
        <v>1935153</v>
      </c>
      <c r="K28" s="395">
        <v>198756</v>
      </c>
      <c r="L28" s="395">
        <v>423048</v>
      </c>
      <c r="M28" s="395">
        <v>5374352</v>
      </c>
      <c r="N28" s="398"/>
    </row>
    <row r="29" spans="2:14" s="369" customFormat="1" ht="20.25" customHeight="1">
      <c r="B29" s="396" t="s">
        <v>331</v>
      </c>
      <c r="C29" s="397"/>
      <c r="D29" s="395">
        <f>SUM(E29:M29)</f>
        <v>18855004</v>
      </c>
      <c r="E29" s="395">
        <v>1169247</v>
      </c>
      <c r="F29" s="395">
        <v>1868158</v>
      </c>
      <c r="G29" s="395">
        <v>3313191</v>
      </c>
      <c r="H29" s="395">
        <v>3310130</v>
      </c>
      <c r="I29" s="395">
        <v>2305249</v>
      </c>
      <c r="J29" s="395">
        <v>1875886</v>
      </c>
      <c r="K29" s="395">
        <v>198365</v>
      </c>
      <c r="L29" s="395">
        <v>407153</v>
      </c>
      <c r="M29" s="395">
        <v>4407625</v>
      </c>
      <c r="N29" s="398"/>
    </row>
    <row r="30" spans="2:14" s="369" customFormat="1" ht="20.25" customHeight="1">
      <c r="B30" s="396" t="s">
        <v>332</v>
      </c>
      <c r="C30" s="397"/>
      <c r="D30" s="395">
        <f>SUM(E30:M30)</f>
        <v>19143144</v>
      </c>
      <c r="E30" s="395">
        <v>1224995</v>
      </c>
      <c r="F30" s="395">
        <v>1955136</v>
      </c>
      <c r="G30" s="395">
        <v>3446083</v>
      </c>
      <c r="H30" s="395">
        <v>3407599</v>
      </c>
      <c r="I30" s="395">
        <v>2375695</v>
      </c>
      <c r="J30" s="395">
        <v>1907960</v>
      </c>
      <c r="K30" s="395">
        <v>210253</v>
      </c>
      <c r="L30" s="395">
        <v>426934</v>
      </c>
      <c r="M30" s="395">
        <v>4188489</v>
      </c>
      <c r="N30" s="398"/>
    </row>
    <row r="31" spans="2:14" s="13" customFormat="1" ht="15" customHeight="1">
      <c r="B31" s="13" t="s">
        <v>333</v>
      </c>
      <c r="C31" s="200"/>
      <c r="M31" s="186" t="s">
        <v>334</v>
      </c>
    </row>
    <row r="32" spans="2:14" s="13" customFormat="1" ht="15" customHeight="1">
      <c r="C32" s="339"/>
      <c r="E32" s="399"/>
      <c r="M32" s="186" t="s">
        <v>54</v>
      </c>
    </row>
    <row r="35" spans="4:5">
      <c r="D35" s="400"/>
      <c r="E35" s="401"/>
    </row>
  </sheetData>
  <mergeCells count="11">
    <mergeCell ref="B14:B15"/>
    <mergeCell ref="B4:B5"/>
    <mergeCell ref="B6:B7"/>
    <mergeCell ref="B8:B9"/>
    <mergeCell ref="B10:B11"/>
    <mergeCell ref="B12:B13"/>
    <mergeCell ref="B16:B17"/>
    <mergeCell ref="B18:B19"/>
    <mergeCell ref="B20:B21"/>
    <mergeCell ref="D20:D21"/>
    <mergeCell ref="K20:K21"/>
  </mergeCells>
  <phoneticPr fontId="1"/>
  <pageMargins left="0.59055118110236227" right="0.59055118110236227" top="0.78740157480314965" bottom="0.39370078740157483" header="0.39370078740157483" footer="0.39370078740157483"/>
  <pageSetup paperSize="9" scale="92" orientation="portrait" r:id="rId1"/>
  <headerFooter alignWithMargins="0">
    <oddHeader>&amp;R15.交通・通信</oddHeader>
    <oddFooter>&amp;C-102-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showGridLines="0" workbookViewId="0">
      <selection activeCell="P23" sqref="P23"/>
    </sheetView>
  </sheetViews>
  <sheetFormatPr defaultRowHeight="13.5"/>
  <cols>
    <col min="1" max="1" width="4.25" style="338" customWidth="1"/>
    <col min="2" max="2" width="8.625" style="338" customWidth="1"/>
    <col min="3" max="5" width="6.625" style="338" customWidth="1"/>
    <col min="6" max="7" width="5.625" style="338" customWidth="1"/>
    <col min="8" max="14" width="6.625" style="338" customWidth="1"/>
    <col min="15" max="16384" width="9" style="338"/>
  </cols>
  <sheetData>
    <row r="1" spans="1:16" ht="24">
      <c r="A1" s="149" t="s">
        <v>272</v>
      </c>
      <c r="B1" s="200"/>
      <c r="C1" s="200"/>
      <c r="D1" s="200"/>
      <c r="E1" s="200"/>
      <c r="F1" s="200"/>
      <c r="G1" s="200"/>
      <c r="H1" s="200"/>
      <c r="I1" s="199"/>
      <c r="J1" s="199"/>
      <c r="K1" s="199"/>
      <c r="L1" s="199"/>
      <c r="M1" s="199"/>
      <c r="N1" s="13"/>
      <c r="O1" s="13"/>
      <c r="P1" s="13"/>
    </row>
    <row r="2" spans="1:16" s="150" customFormat="1" ht="18" customHeight="1">
      <c r="B2" s="200"/>
      <c r="C2" s="200"/>
      <c r="D2" s="200"/>
      <c r="E2" s="200"/>
      <c r="F2" s="200"/>
      <c r="G2" s="200"/>
      <c r="H2" s="200"/>
      <c r="I2" s="199"/>
      <c r="J2" s="199"/>
      <c r="K2" s="199"/>
      <c r="L2" s="199"/>
      <c r="M2" s="199"/>
      <c r="N2" s="13"/>
      <c r="O2" s="13"/>
      <c r="P2" s="13"/>
    </row>
    <row r="3" spans="1:16" s="150" customFormat="1" ht="15" customHeight="1">
      <c r="A3" s="199"/>
      <c r="B3" s="518" t="s">
        <v>273</v>
      </c>
      <c r="C3" s="523" t="s">
        <v>274</v>
      </c>
      <c r="D3" s="524"/>
      <c r="E3" s="524"/>
      <c r="F3" s="524"/>
      <c r="G3" s="524"/>
      <c r="H3" s="524"/>
      <c r="I3" s="524" t="s">
        <v>275</v>
      </c>
      <c r="J3" s="524"/>
      <c r="K3" s="524"/>
      <c r="L3" s="524"/>
      <c r="M3" s="524"/>
      <c r="N3" s="524"/>
      <c r="O3" s="13"/>
      <c r="P3" s="199"/>
    </row>
    <row r="4" spans="1:16" s="150" customFormat="1" ht="15" customHeight="1">
      <c r="A4" s="199"/>
      <c r="B4" s="522"/>
      <c r="C4" s="524" t="s">
        <v>276</v>
      </c>
      <c r="D4" s="524"/>
      <c r="E4" s="524"/>
      <c r="F4" s="524" t="s">
        <v>277</v>
      </c>
      <c r="G4" s="524"/>
      <c r="H4" s="524"/>
      <c r="I4" s="523" t="s">
        <v>276</v>
      </c>
      <c r="J4" s="524"/>
      <c r="K4" s="525"/>
      <c r="L4" s="524" t="s">
        <v>277</v>
      </c>
      <c r="M4" s="524"/>
      <c r="N4" s="524"/>
      <c r="O4" s="13"/>
      <c r="P4" s="199"/>
    </row>
    <row r="5" spans="1:16" s="150" customFormat="1" ht="15" customHeight="1">
      <c r="A5" s="339"/>
      <c r="B5" s="522"/>
      <c r="C5" s="340" t="s">
        <v>278</v>
      </c>
      <c r="D5" s="341" t="s">
        <v>279</v>
      </c>
      <c r="E5" s="342" t="s">
        <v>280</v>
      </c>
      <c r="F5" s="343" t="s">
        <v>281</v>
      </c>
      <c r="G5" s="342" t="s">
        <v>282</v>
      </c>
      <c r="H5" s="344" t="s">
        <v>283</v>
      </c>
      <c r="I5" s="340" t="s">
        <v>278</v>
      </c>
      <c r="J5" s="341" t="s">
        <v>279</v>
      </c>
      <c r="K5" s="345" t="s">
        <v>280</v>
      </c>
      <c r="L5" s="343" t="s">
        <v>281</v>
      </c>
      <c r="M5" s="345" t="s">
        <v>282</v>
      </c>
      <c r="N5" s="340" t="s">
        <v>283</v>
      </c>
      <c r="O5" s="200"/>
      <c r="P5" s="339"/>
    </row>
    <row r="6" spans="1:16" s="150" customFormat="1" ht="15" customHeight="1">
      <c r="A6" s="339"/>
      <c r="B6" s="519"/>
      <c r="C6" s="346" t="s">
        <v>284</v>
      </c>
      <c r="D6" s="347" t="s">
        <v>284</v>
      </c>
      <c r="E6" s="348" t="s">
        <v>285</v>
      </c>
      <c r="F6" s="349" t="s">
        <v>286</v>
      </c>
      <c r="G6" s="348" t="s">
        <v>287</v>
      </c>
      <c r="H6" s="350" t="s">
        <v>288</v>
      </c>
      <c r="I6" s="346" t="s">
        <v>284</v>
      </c>
      <c r="J6" s="347" t="s">
        <v>284</v>
      </c>
      <c r="K6" s="351" t="s">
        <v>285</v>
      </c>
      <c r="L6" s="349" t="s">
        <v>286</v>
      </c>
      <c r="M6" s="351" t="s">
        <v>287</v>
      </c>
      <c r="N6" s="346" t="s">
        <v>288</v>
      </c>
      <c r="O6" s="200"/>
      <c r="P6" s="339"/>
    </row>
    <row r="7" spans="1:16" s="150" customFormat="1" ht="19.5" customHeight="1">
      <c r="A7" s="339"/>
      <c r="B7" s="352" t="s">
        <v>289</v>
      </c>
      <c r="C7" s="353">
        <v>1008</v>
      </c>
      <c r="D7" s="347">
        <v>256</v>
      </c>
      <c r="E7" s="351">
        <v>752</v>
      </c>
      <c r="F7" s="284" t="s">
        <v>290</v>
      </c>
      <c r="G7" s="287" t="s">
        <v>290</v>
      </c>
      <c r="H7" s="354" t="s">
        <v>290</v>
      </c>
      <c r="I7" s="353">
        <v>1112</v>
      </c>
      <c r="J7" s="347">
        <v>341</v>
      </c>
      <c r="K7" s="351">
        <v>771</v>
      </c>
      <c r="L7" s="284" t="s">
        <v>290</v>
      </c>
      <c r="M7" s="289" t="s">
        <v>290</v>
      </c>
      <c r="N7" s="288" t="s">
        <v>290</v>
      </c>
      <c r="O7" s="200"/>
      <c r="P7" s="339"/>
    </row>
    <row r="8" spans="1:16" s="150" customFormat="1" ht="19.5" customHeight="1">
      <c r="A8" s="339"/>
      <c r="B8" s="355" t="s">
        <v>291</v>
      </c>
      <c r="C8" s="346">
        <v>952</v>
      </c>
      <c r="D8" s="347">
        <v>251</v>
      </c>
      <c r="E8" s="351">
        <v>701</v>
      </c>
      <c r="F8" s="356" t="s">
        <v>290</v>
      </c>
      <c r="G8" s="357" t="s">
        <v>290</v>
      </c>
      <c r="H8" s="358" t="s">
        <v>290</v>
      </c>
      <c r="I8" s="353">
        <v>1115</v>
      </c>
      <c r="J8" s="347">
        <v>338</v>
      </c>
      <c r="K8" s="351">
        <v>777</v>
      </c>
      <c r="L8" s="356" t="s">
        <v>290</v>
      </c>
      <c r="M8" s="359" t="s">
        <v>290</v>
      </c>
      <c r="N8" s="360" t="s">
        <v>290</v>
      </c>
      <c r="O8" s="200"/>
      <c r="P8" s="339"/>
    </row>
    <row r="9" spans="1:16" s="150" customFormat="1" ht="19.5" customHeight="1">
      <c r="A9" s="339"/>
      <c r="B9" s="352" t="s">
        <v>292</v>
      </c>
      <c r="C9" s="288">
        <v>979</v>
      </c>
      <c r="D9" s="285">
        <v>239</v>
      </c>
      <c r="E9" s="289">
        <v>740</v>
      </c>
      <c r="F9" s="284" t="s">
        <v>290</v>
      </c>
      <c r="G9" s="287" t="s">
        <v>290</v>
      </c>
      <c r="H9" s="354" t="s">
        <v>290</v>
      </c>
      <c r="I9" s="288">
        <v>1100</v>
      </c>
      <c r="J9" s="285">
        <v>330</v>
      </c>
      <c r="K9" s="289">
        <v>770</v>
      </c>
      <c r="L9" s="284" t="s">
        <v>290</v>
      </c>
      <c r="M9" s="289" t="s">
        <v>290</v>
      </c>
      <c r="N9" s="288" t="s">
        <v>290</v>
      </c>
      <c r="O9" s="200"/>
      <c r="P9" s="339"/>
    </row>
    <row r="10" spans="1:16" s="150" customFormat="1" ht="19.5" customHeight="1">
      <c r="A10" s="339"/>
      <c r="B10" s="355" t="s">
        <v>293</v>
      </c>
      <c r="C10" s="360">
        <v>997</v>
      </c>
      <c r="D10" s="361">
        <v>233</v>
      </c>
      <c r="E10" s="357">
        <v>764</v>
      </c>
      <c r="F10" s="356" t="s">
        <v>290</v>
      </c>
      <c r="G10" s="357" t="s">
        <v>290</v>
      </c>
      <c r="H10" s="358" t="s">
        <v>290</v>
      </c>
      <c r="I10" s="360">
        <v>1176</v>
      </c>
      <c r="J10" s="361">
        <v>348</v>
      </c>
      <c r="K10" s="357">
        <v>828</v>
      </c>
      <c r="L10" s="356" t="s">
        <v>290</v>
      </c>
      <c r="M10" s="359" t="s">
        <v>290</v>
      </c>
      <c r="N10" s="360" t="s">
        <v>290</v>
      </c>
      <c r="O10" s="200"/>
      <c r="P10" s="339"/>
    </row>
    <row r="11" spans="1:16" s="150" customFormat="1" ht="19.5" customHeight="1">
      <c r="A11" s="339"/>
      <c r="B11" s="352" t="s">
        <v>294</v>
      </c>
      <c r="C11" s="288">
        <v>932</v>
      </c>
      <c r="D11" s="285">
        <v>208</v>
      </c>
      <c r="E11" s="289">
        <v>824</v>
      </c>
      <c r="F11" s="284" t="s">
        <v>290</v>
      </c>
      <c r="G11" s="287" t="s">
        <v>290</v>
      </c>
      <c r="H11" s="354" t="s">
        <v>290</v>
      </c>
      <c r="I11" s="288">
        <v>1162</v>
      </c>
      <c r="J11" s="285">
        <v>327</v>
      </c>
      <c r="K11" s="289">
        <v>835</v>
      </c>
      <c r="L11" s="284" t="s">
        <v>290</v>
      </c>
      <c r="M11" s="289" t="s">
        <v>290</v>
      </c>
      <c r="N11" s="288" t="s">
        <v>290</v>
      </c>
      <c r="O11" s="200"/>
      <c r="P11" s="339"/>
    </row>
    <row r="12" spans="1:16" s="150" customFormat="1" ht="19.5" customHeight="1">
      <c r="A12" s="339"/>
      <c r="B12" s="355" t="s">
        <v>295</v>
      </c>
      <c r="C12" s="360">
        <f>SUM(D12:E12)</f>
        <v>906</v>
      </c>
      <c r="D12" s="361">
        <v>208</v>
      </c>
      <c r="E12" s="357">
        <v>698</v>
      </c>
      <c r="F12" s="356" t="s">
        <v>33</v>
      </c>
      <c r="G12" s="357" t="s">
        <v>33</v>
      </c>
      <c r="H12" s="358" t="s">
        <v>33</v>
      </c>
      <c r="I12" s="360">
        <f>SUM(J12:K12)</f>
        <v>1093</v>
      </c>
      <c r="J12" s="361">
        <v>298</v>
      </c>
      <c r="K12" s="357">
        <v>795</v>
      </c>
      <c r="L12" s="356" t="s">
        <v>33</v>
      </c>
      <c r="M12" s="359" t="s">
        <v>33</v>
      </c>
      <c r="N12" s="360" t="s">
        <v>33</v>
      </c>
      <c r="O12" s="200"/>
      <c r="P12" s="339"/>
    </row>
    <row r="13" spans="1:16" s="150" customFormat="1" ht="19.5" customHeight="1">
      <c r="B13" s="352" t="s">
        <v>296</v>
      </c>
      <c r="C13" s="288">
        <v>895</v>
      </c>
      <c r="D13" s="285">
        <v>196</v>
      </c>
      <c r="E13" s="289">
        <v>699</v>
      </c>
      <c r="F13" s="284" t="s">
        <v>33</v>
      </c>
      <c r="G13" s="287" t="s">
        <v>33</v>
      </c>
      <c r="H13" s="354" t="s">
        <v>33</v>
      </c>
      <c r="I13" s="288">
        <v>1051</v>
      </c>
      <c r="J13" s="285">
        <v>281</v>
      </c>
      <c r="K13" s="289">
        <v>770</v>
      </c>
      <c r="L13" s="284" t="s">
        <v>33</v>
      </c>
      <c r="M13" s="289" t="s">
        <v>33</v>
      </c>
      <c r="N13" s="288" t="s">
        <v>33</v>
      </c>
      <c r="O13" s="13"/>
      <c r="P13" s="13"/>
    </row>
    <row r="14" spans="1:16" s="150" customFormat="1" ht="19.5" customHeight="1">
      <c r="B14" s="352" t="s">
        <v>297</v>
      </c>
      <c r="C14" s="362">
        <v>888</v>
      </c>
      <c r="D14" s="363">
        <v>202</v>
      </c>
      <c r="E14" s="364">
        <v>686</v>
      </c>
      <c r="F14" s="365" t="s">
        <v>33</v>
      </c>
      <c r="G14" s="366" t="s">
        <v>33</v>
      </c>
      <c r="H14" s="367" t="s">
        <v>33</v>
      </c>
      <c r="I14" s="362">
        <v>1043</v>
      </c>
      <c r="J14" s="363">
        <v>303</v>
      </c>
      <c r="K14" s="364">
        <v>740</v>
      </c>
      <c r="L14" s="365" t="s">
        <v>33</v>
      </c>
      <c r="M14" s="364" t="s">
        <v>33</v>
      </c>
      <c r="N14" s="362" t="s">
        <v>33</v>
      </c>
      <c r="O14" s="13"/>
      <c r="P14" s="13"/>
    </row>
    <row r="15" spans="1:16" s="150" customFormat="1" ht="19.5" customHeight="1">
      <c r="B15" s="352" t="s">
        <v>298</v>
      </c>
      <c r="C15" s="362">
        <v>903</v>
      </c>
      <c r="D15" s="363">
        <v>196</v>
      </c>
      <c r="E15" s="364">
        <v>707</v>
      </c>
      <c r="F15" s="365" t="s">
        <v>32</v>
      </c>
      <c r="G15" s="366" t="s">
        <v>32</v>
      </c>
      <c r="H15" s="367" t="s">
        <v>32</v>
      </c>
      <c r="I15" s="362">
        <v>1073</v>
      </c>
      <c r="J15" s="363">
        <v>296</v>
      </c>
      <c r="K15" s="364">
        <v>777</v>
      </c>
      <c r="L15" s="365" t="s">
        <v>32</v>
      </c>
      <c r="M15" s="364" t="s">
        <v>32</v>
      </c>
      <c r="N15" s="362" t="s">
        <v>32</v>
      </c>
      <c r="O15" s="13"/>
      <c r="P15" s="13"/>
    </row>
    <row r="16" spans="1:16" s="150" customFormat="1" ht="19.5" customHeight="1">
      <c r="B16" s="352" t="s">
        <v>299</v>
      </c>
      <c r="C16" s="362">
        <v>893</v>
      </c>
      <c r="D16" s="363">
        <v>194</v>
      </c>
      <c r="E16" s="364">
        <v>699</v>
      </c>
      <c r="F16" s="365" t="s">
        <v>32</v>
      </c>
      <c r="G16" s="366" t="s">
        <v>32</v>
      </c>
      <c r="H16" s="367" t="s">
        <v>32</v>
      </c>
      <c r="I16" s="362">
        <v>1083</v>
      </c>
      <c r="J16" s="363">
        <v>299</v>
      </c>
      <c r="K16" s="364">
        <v>784</v>
      </c>
      <c r="L16" s="365" t="s">
        <v>32</v>
      </c>
      <c r="M16" s="364" t="s">
        <v>32</v>
      </c>
      <c r="N16" s="362" t="s">
        <v>32</v>
      </c>
      <c r="O16" s="13"/>
      <c r="P16" s="13"/>
    </row>
    <row r="17" spans="2:16" s="150" customFormat="1" ht="19.5" customHeight="1">
      <c r="B17" s="352" t="s">
        <v>300</v>
      </c>
      <c r="C17" s="362">
        <v>937</v>
      </c>
      <c r="D17" s="363">
        <v>202</v>
      </c>
      <c r="E17" s="364">
        <v>735</v>
      </c>
      <c r="F17" s="365" t="s">
        <v>32</v>
      </c>
      <c r="G17" s="366" t="s">
        <v>32</v>
      </c>
      <c r="H17" s="367" t="s">
        <v>32</v>
      </c>
      <c r="I17" s="362">
        <v>1082</v>
      </c>
      <c r="J17" s="363">
        <v>298</v>
      </c>
      <c r="K17" s="364">
        <v>784</v>
      </c>
      <c r="L17" s="365" t="s">
        <v>32</v>
      </c>
      <c r="M17" s="364" t="s">
        <v>32</v>
      </c>
      <c r="N17" s="362" t="s">
        <v>32</v>
      </c>
      <c r="O17" s="13"/>
      <c r="P17" s="13"/>
    </row>
    <row r="18" spans="2:16" s="150" customFormat="1" ht="19.5" customHeight="1">
      <c r="B18" s="352" t="s">
        <v>236</v>
      </c>
      <c r="C18" s="362">
        <v>856</v>
      </c>
      <c r="D18" s="363">
        <v>197</v>
      </c>
      <c r="E18" s="364">
        <v>659</v>
      </c>
      <c r="F18" s="365" t="s">
        <v>32</v>
      </c>
      <c r="G18" s="366" t="s">
        <v>32</v>
      </c>
      <c r="H18" s="367" t="s">
        <v>32</v>
      </c>
      <c r="I18" s="362">
        <v>1028</v>
      </c>
      <c r="J18" s="363">
        <v>274</v>
      </c>
      <c r="K18" s="364">
        <v>754</v>
      </c>
      <c r="L18" s="365" t="s">
        <v>32</v>
      </c>
      <c r="M18" s="364" t="s">
        <v>32</v>
      </c>
      <c r="N18" s="362" t="s">
        <v>32</v>
      </c>
      <c r="O18" s="13"/>
      <c r="P18" s="13"/>
    </row>
    <row r="19" spans="2:16" s="150" customFormat="1" ht="19.5" customHeight="1">
      <c r="B19" s="352" t="s">
        <v>301</v>
      </c>
      <c r="C19" s="362">
        <v>848</v>
      </c>
      <c r="D19" s="363">
        <v>185</v>
      </c>
      <c r="E19" s="364">
        <v>663</v>
      </c>
      <c r="F19" s="365" t="s">
        <v>32</v>
      </c>
      <c r="G19" s="366" t="s">
        <v>32</v>
      </c>
      <c r="H19" s="367" t="s">
        <v>32</v>
      </c>
      <c r="I19" s="362">
        <v>1037</v>
      </c>
      <c r="J19" s="363">
        <v>263</v>
      </c>
      <c r="K19" s="364">
        <v>774</v>
      </c>
      <c r="L19" s="365" t="s">
        <v>32</v>
      </c>
      <c r="M19" s="364" t="s">
        <v>32</v>
      </c>
      <c r="N19" s="362" t="s">
        <v>32</v>
      </c>
      <c r="O19" s="13"/>
      <c r="P19" s="13"/>
    </row>
    <row r="20" spans="2:16" s="154" customFormat="1" ht="19.5" customHeight="1">
      <c r="B20" s="368" t="s">
        <v>238</v>
      </c>
      <c r="C20" s="362">
        <v>874</v>
      </c>
      <c r="D20" s="363">
        <v>184</v>
      </c>
      <c r="E20" s="364">
        <v>690</v>
      </c>
      <c r="F20" s="365" t="s">
        <v>32</v>
      </c>
      <c r="G20" s="366" t="s">
        <v>32</v>
      </c>
      <c r="H20" s="367" t="s">
        <v>32</v>
      </c>
      <c r="I20" s="362">
        <v>1051</v>
      </c>
      <c r="J20" s="363">
        <v>259</v>
      </c>
      <c r="K20" s="364">
        <v>792</v>
      </c>
      <c r="L20" s="365" t="s">
        <v>32</v>
      </c>
      <c r="M20" s="364" t="s">
        <v>32</v>
      </c>
      <c r="N20" s="362" t="s">
        <v>32</v>
      </c>
      <c r="O20" s="369"/>
      <c r="P20" s="369"/>
    </row>
    <row r="21" spans="2:16" s="154" customFormat="1" ht="19.5" customHeight="1">
      <c r="B21" s="368" t="s">
        <v>239</v>
      </c>
      <c r="C21" s="362">
        <v>877</v>
      </c>
      <c r="D21" s="363">
        <v>183</v>
      </c>
      <c r="E21" s="364">
        <v>694</v>
      </c>
      <c r="F21" s="365" t="s">
        <v>32</v>
      </c>
      <c r="G21" s="366" t="s">
        <v>32</v>
      </c>
      <c r="H21" s="367" t="s">
        <v>32</v>
      </c>
      <c r="I21" s="362">
        <v>1053</v>
      </c>
      <c r="J21" s="363">
        <v>259</v>
      </c>
      <c r="K21" s="364">
        <v>794</v>
      </c>
      <c r="L21" s="365" t="s">
        <v>32</v>
      </c>
      <c r="M21" s="364" t="s">
        <v>32</v>
      </c>
      <c r="N21" s="362" t="s">
        <v>32</v>
      </c>
      <c r="O21" s="369"/>
      <c r="P21" s="369"/>
    </row>
    <row r="22" spans="2:16" s="154" customFormat="1" ht="19.5" customHeight="1">
      <c r="B22" s="368" t="s">
        <v>240</v>
      </c>
      <c r="C22" s="362">
        <v>885</v>
      </c>
      <c r="D22" s="363">
        <v>186</v>
      </c>
      <c r="E22" s="364">
        <v>699</v>
      </c>
      <c r="F22" s="365" t="s">
        <v>33</v>
      </c>
      <c r="G22" s="366" t="s">
        <v>33</v>
      </c>
      <c r="H22" s="367" t="s">
        <v>33</v>
      </c>
      <c r="I22" s="362">
        <v>1084</v>
      </c>
      <c r="J22" s="363">
        <v>260</v>
      </c>
      <c r="K22" s="364">
        <v>824</v>
      </c>
      <c r="L22" s="365" t="s">
        <v>33</v>
      </c>
      <c r="M22" s="364" t="s">
        <v>33</v>
      </c>
      <c r="N22" s="362" t="s">
        <v>33</v>
      </c>
      <c r="O22" s="369"/>
      <c r="P22" s="369"/>
    </row>
    <row r="23" spans="2:16" s="154" customFormat="1" ht="19.5" customHeight="1">
      <c r="B23" s="368" t="s">
        <v>241</v>
      </c>
      <c r="C23" s="362">
        <v>939</v>
      </c>
      <c r="D23" s="363">
        <v>185</v>
      </c>
      <c r="E23" s="364">
        <v>754</v>
      </c>
      <c r="F23" s="365" t="s">
        <v>33</v>
      </c>
      <c r="G23" s="366" t="s">
        <v>33</v>
      </c>
      <c r="H23" s="367" t="s">
        <v>33</v>
      </c>
      <c r="I23" s="362">
        <v>1035</v>
      </c>
      <c r="J23" s="363">
        <v>258</v>
      </c>
      <c r="K23" s="364">
        <v>777</v>
      </c>
      <c r="L23" s="365" t="s">
        <v>33</v>
      </c>
      <c r="M23" s="364" t="s">
        <v>33</v>
      </c>
      <c r="N23" s="362" t="s">
        <v>33</v>
      </c>
      <c r="O23" s="369"/>
      <c r="P23" s="369"/>
    </row>
    <row r="24" spans="2:16" s="154" customFormat="1" ht="19.5" customHeight="1">
      <c r="B24" s="368" t="s">
        <v>242</v>
      </c>
      <c r="C24" s="362">
        <v>1037</v>
      </c>
      <c r="D24" s="363">
        <v>203</v>
      </c>
      <c r="E24" s="364">
        <v>835</v>
      </c>
      <c r="F24" s="365" t="s">
        <v>33</v>
      </c>
      <c r="G24" s="366" t="s">
        <v>33</v>
      </c>
      <c r="H24" s="367" t="s">
        <v>33</v>
      </c>
      <c r="I24" s="362">
        <v>1029</v>
      </c>
      <c r="J24" s="363">
        <v>269</v>
      </c>
      <c r="K24" s="364">
        <v>760</v>
      </c>
      <c r="L24" s="365" t="s">
        <v>33</v>
      </c>
      <c r="M24" s="364" t="s">
        <v>33</v>
      </c>
      <c r="N24" s="362" t="s">
        <v>33</v>
      </c>
      <c r="O24" s="369"/>
      <c r="P24" s="369"/>
    </row>
    <row r="25" spans="2:16" ht="15" customHeight="1">
      <c r="N25" s="370" t="s">
        <v>302</v>
      </c>
    </row>
    <row r="26" spans="2:16" ht="15" customHeight="1">
      <c r="N26" s="186" t="s">
        <v>54</v>
      </c>
    </row>
  </sheetData>
  <mergeCells count="7">
    <mergeCell ref="B3:B6"/>
    <mergeCell ref="C3:H3"/>
    <mergeCell ref="I3:N3"/>
    <mergeCell ref="C4:E4"/>
    <mergeCell ref="F4:H4"/>
    <mergeCell ref="I4:K4"/>
    <mergeCell ref="L4:N4"/>
  </mergeCells>
  <phoneticPr fontId="1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>
    <oddHeader>&amp;R15.交通・通信</oddHeader>
    <oddFooter>&amp;C-103-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M38" sqref="M38"/>
    </sheetView>
  </sheetViews>
  <sheetFormatPr defaultRowHeight="11.25"/>
  <cols>
    <col min="1" max="1" width="3.625" style="150" customWidth="1"/>
    <col min="2" max="2" width="9" style="150"/>
    <col min="3" max="3" width="8.125" style="150" customWidth="1"/>
    <col min="4" max="12" width="7.125" style="150" customWidth="1"/>
    <col min="13" max="256" width="9" style="150"/>
    <col min="257" max="257" width="3.625" style="150" customWidth="1"/>
    <col min="258" max="258" width="9" style="150"/>
    <col min="259" max="259" width="8.125" style="150" customWidth="1"/>
    <col min="260" max="268" width="7.125" style="150" customWidth="1"/>
    <col min="269" max="512" width="9" style="150"/>
    <col min="513" max="513" width="3.625" style="150" customWidth="1"/>
    <col min="514" max="514" width="9" style="150"/>
    <col min="515" max="515" width="8.125" style="150" customWidth="1"/>
    <col min="516" max="524" width="7.125" style="150" customWidth="1"/>
    <col min="525" max="768" width="9" style="150"/>
    <col min="769" max="769" width="3.625" style="150" customWidth="1"/>
    <col min="770" max="770" width="9" style="150"/>
    <col min="771" max="771" width="8.125" style="150" customWidth="1"/>
    <col min="772" max="780" width="7.125" style="150" customWidth="1"/>
    <col min="781" max="1024" width="9" style="150"/>
    <col min="1025" max="1025" width="3.625" style="150" customWidth="1"/>
    <col min="1026" max="1026" width="9" style="150"/>
    <col min="1027" max="1027" width="8.125" style="150" customWidth="1"/>
    <col min="1028" max="1036" width="7.125" style="150" customWidth="1"/>
    <col min="1037" max="1280" width="9" style="150"/>
    <col min="1281" max="1281" width="3.625" style="150" customWidth="1"/>
    <col min="1282" max="1282" width="9" style="150"/>
    <col min="1283" max="1283" width="8.125" style="150" customWidth="1"/>
    <col min="1284" max="1292" width="7.125" style="150" customWidth="1"/>
    <col min="1293" max="1536" width="9" style="150"/>
    <col min="1537" max="1537" width="3.625" style="150" customWidth="1"/>
    <col min="1538" max="1538" width="9" style="150"/>
    <col min="1539" max="1539" width="8.125" style="150" customWidth="1"/>
    <col min="1540" max="1548" width="7.125" style="150" customWidth="1"/>
    <col min="1549" max="1792" width="9" style="150"/>
    <col min="1793" max="1793" width="3.625" style="150" customWidth="1"/>
    <col min="1794" max="1794" width="9" style="150"/>
    <col min="1795" max="1795" width="8.125" style="150" customWidth="1"/>
    <col min="1796" max="1804" width="7.125" style="150" customWidth="1"/>
    <col min="1805" max="2048" width="9" style="150"/>
    <col min="2049" max="2049" width="3.625" style="150" customWidth="1"/>
    <col min="2050" max="2050" width="9" style="150"/>
    <col min="2051" max="2051" width="8.125" style="150" customWidth="1"/>
    <col min="2052" max="2060" width="7.125" style="150" customWidth="1"/>
    <col min="2061" max="2304" width="9" style="150"/>
    <col min="2305" max="2305" width="3.625" style="150" customWidth="1"/>
    <col min="2306" max="2306" width="9" style="150"/>
    <col min="2307" max="2307" width="8.125" style="150" customWidth="1"/>
    <col min="2308" max="2316" width="7.125" style="150" customWidth="1"/>
    <col min="2317" max="2560" width="9" style="150"/>
    <col min="2561" max="2561" width="3.625" style="150" customWidth="1"/>
    <col min="2562" max="2562" width="9" style="150"/>
    <col min="2563" max="2563" width="8.125" style="150" customWidth="1"/>
    <col min="2564" max="2572" width="7.125" style="150" customWidth="1"/>
    <col min="2573" max="2816" width="9" style="150"/>
    <col min="2817" max="2817" width="3.625" style="150" customWidth="1"/>
    <col min="2818" max="2818" width="9" style="150"/>
    <col min="2819" max="2819" width="8.125" style="150" customWidth="1"/>
    <col min="2820" max="2828" width="7.125" style="150" customWidth="1"/>
    <col min="2829" max="3072" width="9" style="150"/>
    <col min="3073" max="3073" width="3.625" style="150" customWidth="1"/>
    <col min="3074" max="3074" width="9" style="150"/>
    <col min="3075" max="3075" width="8.125" style="150" customWidth="1"/>
    <col min="3076" max="3084" width="7.125" style="150" customWidth="1"/>
    <col min="3085" max="3328" width="9" style="150"/>
    <col min="3329" max="3329" width="3.625" style="150" customWidth="1"/>
    <col min="3330" max="3330" width="9" style="150"/>
    <col min="3331" max="3331" width="8.125" style="150" customWidth="1"/>
    <col min="3332" max="3340" width="7.125" style="150" customWidth="1"/>
    <col min="3341" max="3584" width="9" style="150"/>
    <col min="3585" max="3585" width="3.625" style="150" customWidth="1"/>
    <col min="3586" max="3586" width="9" style="150"/>
    <col min="3587" max="3587" width="8.125" style="150" customWidth="1"/>
    <col min="3588" max="3596" width="7.125" style="150" customWidth="1"/>
    <col min="3597" max="3840" width="9" style="150"/>
    <col min="3841" max="3841" width="3.625" style="150" customWidth="1"/>
    <col min="3842" max="3842" width="9" style="150"/>
    <col min="3843" max="3843" width="8.125" style="150" customWidth="1"/>
    <col min="3844" max="3852" width="7.125" style="150" customWidth="1"/>
    <col min="3853" max="4096" width="9" style="150"/>
    <col min="4097" max="4097" width="3.625" style="150" customWidth="1"/>
    <col min="4098" max="4098" width="9" style="150"/>
    <col min="4099" max="4099" width="8.125" style="150" customWidth="1"/>
    <col min="4100" max="4108" width="7.125" style="150" customWidth="1"/>
    <col min="4109" max="4352" width="9" style="150"/>
    <col min="4353" max="4353" width="3.625" style="150" customWidth="1"/>
    <col min="4354" max="4354" width="9" style="150"/>
    <col min="4355" max="4355" width="8.125" style="150" customWidth="1"/>
    <col min="4356" max="4364" width="7.125" style="150" customWidth="1"/>
    <col min="4365" max="4608" width="9" style="150"/>
    <col min="4609" max="4609" width="3.625" style="150" customWidth="1"/>
    <col min="4610" max="4610" width="9" style="150"/>
    <col min="4611" max="4611" width="8.125" style="150" customWidth="1"/>
    <col min="4612" max="4620" width="7.125" style="150" customWidth="1"/>
    <col min="4621" max="4864" width="9" style="150"/>
    <col min="4865" max="4865" width="3.625" style="150" customWidth="1"/>
    <col min="4866" max="4866" width="9" style="150"/>
    <col min="4867" max="4867" width="8.125" style="150" customWidth="1"/>
    <col min="4868" max="4876" width="7.125" style="150" customWidth="1"/>
    <col min="4877" max="5120" width="9" style="150"/>
    <col min="5121" max="5121" width="3.625" style="150" customWidth="1"/>
    <col min="5122" max="5122" width="9" style="150"/>
    <col min="5123" max="5123" width="8.125" style="150" customWidth="1"/>
    <col min="5124" max="5132" width="7.125" style="150" customWidth="1"/>
    <col min="5133" max="5376" width="9" style="150"/>
    <col min="5377" max="5377" width="3.625" style="150" customWidth="1"/>
    <col min="5378" max="5378" width="9" style="150"/>
    <col min="5379" max="5379" width="8.125" style="150" customWidth="1"/>
    <col min="5380" max="5388" width="7.125" style="150" customWidth="1"/>
    <col min="5389" max="5632" width="9" style="150"/>
    <col min="5633" max="5633" width="3.625" style="150" customWidth="1"/>
    <col min="5634" max="5634" width="9" style="150"/>
    <col min="5635" max="5635" width="8.125" style="150" customWidth="1"/>
    <col min="5636" max="5644" width="7.125" style="150" customWidth="1"/>
    <col min="5645" max="5888" width="9" style="150"/>
    <col min="5889" max="5889" width="3.625" style="150" customWidth="1"/>
    <col min="5890" max="5890" width="9" style="150"/>
    <col min="5891" max="5891" width="8.125" style="150" customWidth="1"/>
    <col min="5892" max="5900" width="7.125" style="150" customWidth="1"/>
    <col min="5901" max="6144" width="9" style="150"/>
    <col min="6145" max="6145" width="3.625" style="150" customWidth="1"/>
    <col min="6146" max="6146" width="9" style="150"/>
    <col min="6147" max="6147" width="8.125" style="150" customWidth="1"/>
    <col min="6148" max="6156" width="7.125" style="150" customWidth="1"/>
    <col min="6157" max="6400" width="9" style="150"/>
    <col min="6401" max="6401" width="3.625" style="150" customWidth="1"/>
    <col min="6402" max="6402" width="9" style="150"/>
    <col min="6403" max="6403" width="8.125" style="150" customWidth="1"/>
    <col min="6404" max="6412" width="7.125" style="150" customWidth="1"/>
    <col min="6413" max="6656" width="9" style="150"/>
    <col min="6657" max="6657" width="3.625" style="150" customWidth="1"/>
    <col min="6658" max="6658" width="9" style="150"/>
    <col min="6659" max="6659" width="8.125" style="150" customWidth="1"/>
    <col min="6660" max="6668" width="7.125" style="150" customWidth="1"/>
    <col min="6669" max="6912" width="9" style="150"/>
    <col min="6913" max="6913" width="3.625" style="150" customWidth="1"/>
    <col min="6914" max="6914" width="9" style="150"/>
    <col min="6915" max="6915" width="8.125" style="150" customWidth="1"/>
    <col min="6916" max="6924" width="7.125" style="150" customWidth="1"/>
    <col min="6925" max="7168" width="9" style="150"/>
    <col min="7169" max="7169" width="3.625" style="150" customWidth="1"/>
    <col min="7170" max="7170" width="9" style="150"/>
    <col min="7171" max="7171" width="8.125" style="150" customWidth="1"/>
    <col min="7172" max="7180" width="7.125" style="150" customWidth="1"/>
    <col min="7181" max="7424" width="9" style="150"/>
    <col min="7425" max="7425" width="3.625" style="150" customWidth="1"/>
    <col min="7426" max="7426" width="9" style="150"/>
    <col min="7427" max="7427" width="8.125" style="150" customWidth="1"/>
    <col min="7428" max="7436" width="7.125" style="150" customWidth="1"/>
    <col min="7437" max="7680" width="9" style="150"/>
    <col min="7681" max="7681" width="3.625" style="150" customWidth="1"/>
    <col min="7682" max="7682" width="9" style="150"/>
    <col min="7683" max="7683" width="8.125" style="150" customWidth="1"/>
    <col min="7684" max="7692" width="7.125" style="150" customWidth="1"/>
    <col min="7693" max="7936" width="9" style="150"/>
    <col min="7937" max="7937" width="3.625" style="150" customWidth="1"/>
    <col min="7938" max="7938" width="9" style="150"/>
    <col min="7939" max="7939" width="8.125" style="150" customWidth="1"/>
    <col min="7940" max="7948" width="7.125" style="150" customWidth="1"/>
    <col min="7949" max="8192" width="9" style="150"/>
    <col min="8193" max="8193" width="3.625" style="150" customWidth="1"/>
    <col min="8194" max="8194" width="9" style="150"/>
    <col min="8195" max="8195" width="8.125" style="150" customWidth="1"/>
    <col min="8196" max="8204" width="7.125" style="150" customWidth="1"/>
    <col min="8205" max="8448" width="9" style="150"/>
    <col min="8449" max="8449" width="3.625" style="150" customWidth="1"/>
    <col min="8450" max="8450" width="9" style="150"/>
    <col min="8451" max="8451" width="8.125" style="150" customWidth="1"/>
    <col min="8452" max="8460" width="7.125" style="150" customWidth="1"/>
    <col min="8461" max="8704" width="9" style="150"/>
    <col min="8705" max="8705" width="3.625" style="150" customWidth="1"/>
    <col min="8706" max="8706" width="9" style="150"/>
    <col min="8707" max="8707" width="8.125" style="150" customWidth="1"/>
    <col min="8708" max="8716" width="7.125" style="150" customWidth="1"/>
    <col min="8717" max="8960" width="9" style="150"/>
    <col min="8961" max="8961" width="3.625" style="150" customWidth="1"/>
    <col min="8962" max="8962" width="9" style="150"/>
    <col min="8963" max="8963" width="8.125" style="150" customWidth="1"/>
    <col min="8964" max="8972" width="7.125" style="150" customWidth="1"/>
    <col min="8973" max="9216" width="9" style="150"/>
    <col min="9217" max="9217" width="3.625" style="150" customWidth="1"/>
    <col min="9218" max="9218" width="9" style="150"/>
    <col min="9219" max="9219" width="8.125" style="150" customWidth="1"/>
    <col min="9220" max="9228" width="7.125" style="150" customWidth="1"/>
    <col min="9229" max="9472" width="9" style="150"/>
    <col min="9473" max="9473" width="3.625" style="150" customWidth="1"/>
    <col min="9474" max="9474" width="9" style="150"/>
    <col min="9475" max="9475" width="8.125" style="150" customWidth="1"/>
    <col min="9476" max="9484" width="7.125" style="150" customWidth="1"/>
    <col min="9485" max="9728" width="9" style="150"/>
    <col min="9729" max="9729" width="3.625" style="150" customWidth="1"/>
    <col min="9730" max="9730" width="9" style="150"/>
    <col min="9731" max="9731" width="8.125" style="150" customWidth="1"/>
    <col min="9732" max="9740" width="7.125" style="150" customWidth="1"/>
    <col min="9741" max="9984" width="9" style="150"/>
    <col min="9985" max="9985" width="3.625" style="150" customWidth="1"/>
    <col min="9986" max="9986" width="9" style="150"/>
    <col min="9987" max="9987" width="8.125" style="150" customWidth="1"/>
    <col min="9988" max="9996" width="7.125" style="150" customWidth="1"/>
    <col min="9997" max="10240" width="9" style="150"/>
    <col min="10241" max="10241" width="3.625" style="150" customWidth="1"/>
    <col min="10242" max="10242" width="9" style="150"/>
    <col min="10243" max="10243" width="8.125" style="150" customWidth="1"/>
    <col min="10244" max="10252" width="7.125" style="150" customWidth="1"/>
    <col min="10253" max="10496" width="9" style="150"/>
    <col min="10497" max="10497" width="3.625" style="150" customWidth="1"/>
    <col min="10498" max="10498" width="9" style="150"/>
    <col min="10499" max="10499" width="8.125" style="150" customWidth="1"/>
    <col min="10500" max="10508" width="7.125" style="150" customWidth="1"/>
    <col min="10509" max="10752" width="9" style="150"/>
    <col min="10753" max="10753" width="3.625" style="150" customWidth="1"/>
    <col min="10754" max="10754" width="9" style="150"/>
    <col min="10755" max="10755" width="8.125" style="150" customWidth="1"/>
    <col min="10756" max="10764" width="7.125" style="150" customWidth="1"/>
    <col min="10765" max="11008" width="9" style="150"/>
    <col min="11009" max="11009" width="3.625" style="150" customWidth="1"/>
    <col min="11010" max="11010" width="9" style="150"/>
    <col min="11011" max="11011" width="8.125" style="150" customWidth="1"/>
    <col min="11012" max="11020" width="7.125" style="150" customWidth="1"/>
    <col min="11021" max="11264" width="9" style="150"/>
    <col min="11265" max="11265" width="3.625" style="150" customWidth="1"/>
    <col min="11266" max="11266" width="9" style="150"/>
    <col min="11267" max="11267" width="8.125" style="150" customWidth="1"/>
    <col min="11268" max="11276" width="7.125" style="150" customWidth="1"/>
    <col min="11277" max="11520" width="9" style="150"/>
    <col min="11521" max="11521" width="3.625" style="150" customWidth="1"/>
    <col min="11522" max="11522" width="9" style="150"/>
    <col min="11523" max="11523" width="8.125" style="150" customWidth="1"/>
    <col min="11524" max="11532" width="7.125" style="150" customWidth="1"/>
    <col min="11533" max="11776" width="9" style="150"/>
    <col min="11777" max="11777" width="3.625" style="150" customWidth="1"/>
    <col min="11778" max="11778" width="9" style="150"/>
    <col min="11779" max="11779" width="8.125" style="150" customWidth="1"/>
    <col min="11780" max="11788" width="7.125" style="150" customWidth="1"/>
    <col min="11789" max="12032" width="9" style="150"/>
    <col min="12033" max="12033" width="3.625" style="150" customWidth="1"/>
    <col min="12034" max="12034" width="9" style="150"/>
    <col min="12035" max="12035" width="8.125" style="150" customWidth="1"/>
    <col min="12036" max="12044" width="7.125" style="150" customWidth="1"/>
    <col min="12045" max="12288" width="9" style="150"/>
    <col min="12289" max="12289" width="3.625" style="150" customWidth="1"/>
    <col min="12290" max="12290" width="9" style="150"/>
    <col min="12291" max="12291" width="8.125" style="150" customWidth="1"/>
    <col min="12292" max="12300" width="7.125" style="150" customWidth="1"/>
    <col min="12301" max="12544" width="9" style="150"/>
    <col min="12545" max="12545" width="3.625" style="150" customWidth="1"/>
    <col min="12546" max="12546" width="9" style="150"/>
    <col min="12547" max="12547" width="8.125" style="150" customWidth="1"/>
    <col min="12548" max="12556" width="7.125" style="150" customWidth="1"/>
    <col min="12557" max="12800" width="9" style="150"/>
    <col min="12801" max="12801" width="3.625" style="150" customWidth="1"/>
    <col min="12802" max="12802" width="9" style="150"/>
    <col min="12803" max="12803" width="8.125" style="150" customWidth="1"/>
    <col min="12804" max="12812" width="7.125" style="150" customWidth="1"/>
    <col min="12813" max="13056" width="9" style="150"/>
    <col min="13057" max="13057" width="3.625" style="150" customWidth="1"/>
    <col min="13058" max="13058" width="9" style="150"/>
    <col min="13059" max="13059" width="8.125" style="150" customWidth="1"/>
    <col min="13060" max="13068" width="7.125" style="150" customWidth="1"/>
    <col min="13069" max="13312" width="9" style="150"/>
    <col min="13313" max="13313" width="3.625" style="150" customWidth="1"/>
    <col min="13314" max="13314" width="9" style="150"/>
    <col min="13315" max="13315" width="8.125" style="150" customWidth="1"/>
    <col min="13316" max="13324" width="7.125" style="150" customWidth="1"/>
    <col min="13325" max="13568" width="9" style="150"/>
    <col min="13569" max="13569" width="3.625" style="150" customWidth="1"/>
    <col min="13570" max="13570" width="9" style="150"/>
    <col min="13571" max="13571" width="8.125" style="150" customWidth="1"/>
    <col min="13572" max="13580" width="7.125" style="150" customWidth="1"/>
    <col min="13581" max="13824" width="9" style="150"/>
    <col min="13825" max="13825" width="3.625" style="150" customWidth="1"/>
    <col min="13826" max="13826" width="9" style="150"/>
    <col min="13827" max="13827" width="8.125" style="150" customWidth="1"/>
    <col min="13828" max="13836" width="7.125" style="150" customWidth="1"/>
    <col min="13837" max="14080" width="9" style="150"/>
    <col min="14081" max="14081" width="3.625" style="150" customWidth="1"/>
    <col min="14082" max="14082" width="9" style="150"/>
    <col min="14083" max="14083" width="8.125" style="150" customWidth="1"/>
    <col min="14084" max="14092" width="7.125" style="150" customWidth="1"/>
    <col min="14093" max="14336" width="9" style="150"/>
    <col min="14337" max="14337" width="3.625" style="150" customWidth="1"/>
    <col min="14338" max="14338" width="9" style="150"/>
    <col min="14339" max="14339" width="8.125" style="150" customWidth="1"/>
    <col min="14340" max="14348" width="7.125" style="150" customWidth="1"/>
    <col min="14349" max="14592" width="9" style="150"/>
    <col min="14593" max="14593" width="3.625" style="150" customWidth="1"/>
    <col min="14594" max="14594" width="9" style="150"/>
    <col min="14595" max="14595" width="8.125" style="150" customWidth="1"/>
    <col min="14596" max="14604" width="7.125" style="150" customWidth="1"/>
    <col min="14605" max="14848" width="9" style="150"/>
    <col min="14849" max="14849" width="3.625" style="150" customWidth="1"/>
    <col min="14850" max="14850" width="9" style="150"/>
    <col min="14851" max="14851" width="8.125" style="150" customWidth="1"/>
    <col min="14852" max="14860" width="7.125" style="150" customWidth="1"/>
    <col min="14861" max="15104" width="9" style="150"/>
    <col min="15105" max="15105" width="3.625" style="150" customWidth="1"/>
    <col min="15106" max="15106" width="9" style="150"/>
    <col min="15107" max="15107" width="8.125" style="150" customWidth="1"/>
    <col min="15108" max="15116" width="7.125" style="150" customWidth="1"/>
    <col min="15117" max="15360" width="9" style="150"/>
    <col min="15361" max="15361" width="3.625" style="150" customWidth="1"/>
    <col min="15362" max="15362" width="9" style="150"/>
    <col min="15363" max="15363" width="8.125" style="150" customWidth="1"/>
    <col min="15364" max="15372" width="7.125" style="150" customWidth="1"/>
    <col min="15373" max="15616" width="9" style="150"/>
    <col min="15617" max="15617" width="3.625" style="150" customWidth="1"/>
    <col min="15618" max="15618" width="9" style="150"/>
    <col min="15619" max="15619" width="8.125" style="150" customWidth="1"/>
    <col min="15620" max="15628" width="7.125" style="150" customWidth="1"/>
    <col min="15629" max="15872" width="9" style="150"/>
    <col min="15873" max="15873" width="3.625" style="150" customWidth="1"/>
    <col min="15874" max="15874" width="9" style="150"/>
    <col min="15875" max="15875" width="8.125" style="150" customWidth="1"/>
    <col min="15876" max="15884" width="7.125" style="150" customWidth="1"/>
    <col min="15885" max="16128" width="9" style="150"/>
    <col min="16129" max="16129" width="3.625" style="150" customWidth="1"/>
    <col min="16130" max="16130" width="9" style="150"/>
    <col min="16131" max="16131" width="8.125" style="150" customWidth="1"/>
    <col min="16132" max="16140" width="7.125" style="150" customWidth="1"/>
    <col min="16141" max="16384" width="9" style="150"/>
  </cols>
  <sheetData>
    <row r="1" spans="1:12" ht="30" customHeight="1">
      <c r="A1" s="323" t="s">
        <v>246</v>
      </c>
      <c r="D1" s="324"/>
      <c r="E1" s="324"/>
      <c r="F1" s="324"/>
      <c r="G1" s="324"/>
      <c r="H1" s="324"/>
      <c r="I1" s="324"/>
    </row>
    <row r="2" spans="1:12" ht="18" customHeight="1">
      <c r="B2" s="325"/>
      <c r="C2" s="325"/>
      <c r="D2" s="325"/>
      <c r="E2" s="325"/>
      <c r="F2" s="325"/>
      <c r="G2" s="324"/>
      <c r="H2" s="324"/>
      <c r="L2" s="326" t="s">
        <v>247</v>
      </c>
    </row>
    <row r="3" spans="1:12" ht="15" customHeight="1">
      <c r="B3" s="526" t="s">
        <v>248</v>
      </c>
      <c r="C3" s="528" t="s">
        <v>219</v>
      </c>
      <c r="D3" s="530" t="s">
        <v>249</v>
      </c>
      <c r="E3" s="531"/>
      <c r="F3" s="531"/>
      <c r="G3" s="531"/>
      <c r="H3" s="531"/>
      <c r="I3" s="531"/>
      <c r="J3" s="531"/>
      <c r="K3" s="531"/>
      <c r="L3" s="532"/>
    </row>
    <row r="4" spans="1:12" s="200" customFormat="1" ht="25.5" customHeight="1">
      <c r="B4" s="527"/>
      <c r="C4" s="529"/>
      <c r="D4" s="327" t="s">
        <v>250</v>
      </c>
      <c r="E4" s="328" t="s">
        <v>110</v>
      </c>
      <c r="F4" s="328" t="s">
        <v>251</v>
      </c>
      <c r="G4" s="328" t="s">
        <v>252</v>
      </c>
      <c r="H4" s="328" t="s">
        <v>253</v>
      </c>
      <c r="I4" s="328" t="s">
        <v>254</v>
      </c>
      <c r="J4" s="329" t="s">
        <v>255</v>
      </c>
      <c r="K4" s="329" t="s">
        <v>256</v>
      </c>
      <c r="L4" s="330" t="s">
        <v>257</v>
      </c>
    </row>
    <row r="5" spans="1:12" ht="27" customHeight="1">
      <c r="B5" s="331" t="s">
        <v>258</v>
      </c>
      <c r="C5" s="332">
        <f t="shared" ref="C5:C16" si="0">SUM(D5:L5)</f>
        <v>835</v>
      </c>
      <c r="D5" s="333">
        <v>113</v>
      </c>
      <c r="E5" s="334">
        <v>315</v>
      </c>
      <c r="F5" s="334">
        <v>39</v>
      </c>
      <c r="G5" s="334">
        <v>26</v>
      </c>
      <c r="H5" s="334">
        <v>40</v>
      </c>
      <c r="I5" s="334">
        <v>58</v>
      </c>
      <c r="J5" s="335">
        <v>71</v>
      </c>
      <c r="K5" s="335">
        <v>88</v>
      </c>
      <c r="L5" s="336">
        <v>85</v>
      </c>
    </row>
    <row r="6" spans="1:12" ht="27" customHeight="1">
      <c r="B6" s="331" t="s">
        <v>259</v>
      </c>
      <c r="C6" s="332">
        <f t="shared" si="0"/>
        <v>1053</v>
      </c>
      <c r="D6" s="333">
        <v>128</v>
      </c>
      <c r="E6" s="334">
        <v>390</v>
      </c>
      <c r="F6" s="334">
        <v>47</v>
      </c>
      <c r="G6" s="334">
        <v>41</v>
      </c>
      <c r="H6" s="334">
        <v>58</v>
      </c>
      <c r="I6" s="334">
        <v>87</v>
      </c>
      <c r="J6" s="335">
        <v>87</v>
      </c>
      <c r="K6" s="335">
        <v>110</v>
      </c>
      <c r="L6" s="336">
        <v>105</v>
      </c>
    </row>
    <row r="7" spans="1:12" ht="27" customHeight="1">
      <c r="B7" s="331" t="s">
        <v>260</v>
      </c>
      <c r="C7" s="332">
        <f t="shared" si="0"/>
        <v>1169</v>
      </c>
      <c r="D7" s="333">
        <v>147</v>
      </c>
      <c r="E7" s="334">
        <v>434</v>
      </c>
      <c r="F7" s="334">
        <v>56</v>
      </c>
      <c r="G7" s="334">
        <v>34</v>
      </c>
      <c r="H7" s="334">
        <v>65</v>
      </c>
      <c r="I7" s="334">
        <v>87</v>
      </c>
      <c r="J7" s="335">
        <v>104</v>
      </c>
      <c r="K7" s="335">
        <v>126</v>
      </c>
      <c r="L7" s="336">
        <v>116</v>
      </c>
    </row>
    <row r="8" spans="1:12" ht="27" customHeight="1">
      <c r="B8" s="331" t="s">
        <v>261</v>
      </c>
      <c r="C8" s="332">
        <f t="shared" si="0"/>
        <v>1208</v>
      </c>
      <c r="D8" s="333">
        <f>ROUND(58184/365,0)</f>
        <v>159</v>
      </c>
      <c r="E8" s="334">
        <f>ROUND(159196/365,0)</f>
        <v>436</v>
      </c>
      <c r="F8" s="334">
        <f>ROUND(22793/365,0)</f>
        <v>62</v>
      </c>
      <c r="G8" s="334">
        <f>ROUND(12274/365,0)</f>
        <v>34</v>
      </c>
      <c r="H8" s="334">
        <f>ROUND(24300/365,0)</f>
        <v>67</v>
      </c>
      <c r="I8" s="334">
        <f>ROUND(34712/365,0)</f>
        <v>95</v>
      </c>
      <c r="J8" s="334">
        <f>ROUND(39580/365,0)</f>
        <v>108</v>
      </c>
      <c r="K8" s="334">
        <f>ROUND(44160/365,0)</f>
        <v>121</v>
      </c>
      <c r="L8" s="337">
        <f>ROUND(45992/365,0)</f>
        <v>126</v>
      </c>
    </row>
    <row r="9" spans="1:12" ht="27" customHeight="1">
      <c r="B9" s="331" t="s">
        <v>262</v>
      </c>
      <c r="C9" s="332">
        <f t="shared" si="0"/>
        <v>1232</v>
      </c>
      <c r="D9" s="333">
        <v>160</v>
      </c>
      <c r="E9" s="334">
        <v>441</v>
      </c>
      <c r="F9" s="334">
        <v>59</v>
      </c>
      <c r="G9" s="334">
        <v>36</v>
      </c>
      <c r="H9" s="334">
        <v>75</v>
      </c>
      <c r="I9" s="334">
        <v>95</v>
      </c>
      <c r="J9" s="334">
        <v>123</v>
      </c>
      <c r="K9" s="334">
        <v>116</v>
      </c>
      <c r="L9" s="337">
        <v>127</v>
      </c>
    </row>
    <row r="10" spans="1:12" ht="27" customHeight="1">
      <c r="B10" s="331" t="s">
        <v>263</v>
      </c>
      <c r="C10" s="332">
        <f t="shared" si="0"/>
        <v>1301</v>
      </c>
      <c r="D10" s="333">
        <v>165</v>
      </c>
      <c r="E10" s="334">
        <v>466</v>
      </c>
      <c r="F10" s="334">
        <v>66</v>
      </c>
      <c r="G10" s="334">
        <v>36</v>
      </c>
      <c r="H10" s="334">
        <v>78</v>
      </c>
      <c r="I10" s="334">
        <v>85</v>
      </c>
      <c r="J10" s="334">
        <v>135</v>
      </c>
      <c r="K10" s="334">
        <v>123</v>
      </c>
      <c r="L10" s="337">
        <v>147</v>
      </c>
    </row>
    <row r="11" spans="1:12" ht="27" customHeight="1">
      <c r="B11" s="331" t="s">
        <v>264</v>
      </c>
      <c r="C11" s="332">
        <f t="shared" si="0"/>
        <v>1281</v>
      </c>
      <c r="D11" s="333">
        <v>173</v>
      </c>
      <c r="E11" s="334">
        <v>458</v>
      </c>
      <c r="F11" s="334">
        <v>67</v>
      </c>
      <c r="G11" s="334">
        <v>31</v>
      </c>
      <c r="H11" s="334">
        <v>82</v>
      </c>
      <c r="I11" s="334">
        <v>83</v>
      </c>
      <c r="J11" s="334">
        <v>130</v>
      </c>
      <c r="K11" s="334">
        <v>115</v>
      </c>
      <c r="L11" s="337">
        <v>142</v>
      </c>
    </row>
    <row r="12" spans="1:12" ht="27" customHeight="1">
      <c r="B12" s="331" t="s">
        <v>265</v>
      </c>
      <c r="C12" s="332">
        <f t="shared" si="0"/>
        <v>1309</v>
      </c>
      <c r="D12" s="333">
        <v>177</v>
      </c>
      <c r="E12" s="334">
        <v>471</v>
      </c>
      <c r="F12" s="334">
        <v>69</v>
      </c>
      <c r="G12" s="334">
        <v>28</v>
      </c>
      <c r="H12" s="334">
        <v>78</v>
      </c>
      <c r="I12" s="334">
        <v>87</v>
      </c>
      <c r="J12" s="334">
        <v>128</v>
      </c>
      <c r="K12" s="334">
        <v>118</v>
      </c>
      <c r="L12" s="337">
        <v>153</v>
      </c>
    </row>
    <row r="13" spans="1:12" ht="27" customHeight="1">
      <c r="B13" s="331" t="s">
        <v>266</v>
      </c>
      <c r="C13" s="332">
        <f t="shared" si="0"/>
        <v>1290</v>
      </c>
      <c r="D13" s="333">
        <v>174</v>
      </c>
      <c r="E13" s="334">
        <v>459</v>
      </c>
      <c r="F13" s="334">
        <v>71</v>
      </c>
      <c r="G13" s="334">
        <v>27</v>
      </c>
      <c r="H13" s="334">
        <v>73</v>
      </c>
      <c r="I13" s="334">
        <v>86</v>
      </c>
      <c r="J13" s="334">
        <v>126</v>
      </c>
      <c r="K13" s="334">
        <v>119</v>
      </c>
      <c r="L13" s="337">
        <v>155</v>
      </c>
    </row>
    <row r="14" spans="1:12" ht="27" customHeight="1">
      <c r="B14" s="331" t="s">
        <v>267</v>
      </c>
      <c r="C14" s="332">
        <f t="shared" si="0"/>
        <v>1263</v>
      </c>
      <c r="D14" s="333">
        <v>169</v>
      </c>
      <c r="E14" s="334">
        <v>438</v>
      </c>
      <c r="F14" s="334">
        <v>67</v>
      </c>
      <c r="G14" s="334">
        <v>25</v>
      </c>
      <c r="H14" s="334">
        <v>65</v>
      </c>
      <c r="I14" s="334">
        <v>79</v>
      </c>
      <c r="J14" s="334">
        <v>148</v>
      </c>
      <c r="K14" s="334">
        <v>124</v>
      </c>
      <c r="L14" s="337">
        <v>148</v>
      </c>
    </row>
    <row r="15" spans="1:12" ht="27" customHeight="1">
      <c r="B15" s="331" t="s">
        <v>268</v>
      </c>
      <c r="C15" s="332">
        <f t="shared" si="0"/>
        <v>1255</v>
      </c>
      <c r="D15" s="333">
        <v>165</v>
      </c>
      <c r="E15" s="334">
        <v>419</v>
      </c>
      <c r="F15" s="334">
        <v>72</v>
      </c>
      <c r="G15" s="334">
        <v>25</v>
      </c>
      <c r="H15" s="334">
        <v>81</v>
      </c>
      <c r="I15" s="334">
        <v>74</v>
      </c>
      <c r="J15" s="334">
        <v>150</v>
      </c>
      <c r="K15" s="334">
        <v>117</v>
      </c>
      <c r="L15" s="337">
        <v>152</v>
      </c>
    </row>
    <row r="16" spans="1:12" ht="27" customHeight="1">
      <c r="B16" s="331" t="s">
        <v>269</v>
      </c>
      <c r="C16" s="332">
        <f t="shared" si="0"/>
        <v>1226</v>
      </c>
      <c r="D16" s="333">
        <v>158</v>
      </c>
      <c r="E16" s="334">
        <v>398</v>
      </c>
      <c r="F16" s="334">
        <v>67</v>
      </c>
      <c r="G16" s="334">
        <v>27</v>
      </c>
      <c r="H16" s="334">
        <v>84</v>
      </c>
      <c r="I16" s="334">
        <v>66</v>
      </c>
      <c r="J16" s="334">
        <v>160</v>
      </c>
      <c r="K16" s="334">
        <v>113</v>
      </c>
      <c r="L16" s="337">
        <v>153</v>
      </c>
    </row>
    <row r="17" spans="2:12" ht="27" customHeight="1">
      <c r="B17" s="331" t="s">
        <v>270</v>
      </c>
      <c r="C17" s="332">
        <f>SUM(D17:L17)</f>
        <v>1260</v>
      </c>
      <c r="D17" s="333">
        <v>156</v>
      </c>
      <c r="E17" s="334">
        <v>415</v>
      </c>
      <c r="F17" s="334">
        <v>72</v>
      </c>
      <c r="G17" s="334">
        <v>32</v>
      </c>
      <c r="H17" s="334">
        <v>81</v>
      </c>
      <c r="I17" s="334">
        <v>72</v>
      </c>
      <c r="J17" s="334">
        <v>165</v>
      </c>
      <c r="K17" s="334">
        <v>135</v>
      </c>
      <c r="L17" s="337">
        <v>132</v>
      </c>
    </row>
    <row r="18" spans="2:12" ht="15" customHeight="1">
      <c r="B18" s="324"/>
      <c r="C18" s="324"/>
      <c r="D18" s="324"/>
      <c r="E18" s="324"/>
      <c r="F18" s="324"/>
      <c r="G18" s="324"/>
      <c r="H18" s="324"/>
      <c r="L18" s="186" t="s">
        <v>271</v>
      </c>
    </row>
    <row r="19" spans="2:12" ht="15" customHeight="1">
      <c r="B19" s="324"/>
      <c r="C19" s="324"/>
      <c r="D19" s="324"/>
      <c r="E19" s="324"/>
      <c r="F19" s="324"/>
      <c r="G19" s="324"/>
      <c r="H19" s="324"/>
      <c r="I19" s="324"/>
    </row>
    <row r="20" spans="2:12" ht="15" customHeight="1">
      <c r="B20" s="324"/>
      <c r="C20" s="324"/>
      <c r="D20" s="324"/>
      <c r="E20" s="324"/>
      <c r="F20" s="324"/>
      <c r="G20" s="324"/>
      <c r="H20" s="324"/>
      <c r="I20" s="324"/>
    </row>
  </sheetData>
  <mergeCells count="3">
    <mergeCell ref="B3:B4"/>
    <mergeCell ref="C3:C4"/>
    <mergeCell ref="D3:L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&amp;C-104-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showWhiteSpace="0" zoomScaleNormal="100" zoomScaleSheetLayoutView="110" workbookViewId="0">
      <selection activeCell="A17" sqref="A17"/>
    </sheetView>
  </sheetViews>
  <sheetFormatPr defaultRowHeight="11.25"/>
  <cols>
    <col min="1" max="1" width="9" style="305" customWidth="1"/>
    <col min="2" max="3" width="5.125" style="305" customWidth="1"/>
    <col min="4" max="7" width="4.125" style="305" customWidth="1"/>
    <col min="8" max="8" width="5.125" style="306" customWidth="1"/>
    <col min="9" max="20" width="4.125" style="305" customWidth="1"/>
    <col min="21" max="256" width="9" style="305"/>
    <col min="257" max="257" width="9" style="305" customWidth="1"/>
    <col min="258" max="259" width="5.125" style="305" customWidth="1"/>
    <col min="260" max="263" width="4.125" style="305" customWidth="1"/>
    <col min="264" max="264" width="5.125" style="305" customWidth="1"/>
    <col min="265" max="276" width="4.125" style="305" customWidth="1"/>
    <col min="277" max="512" width="9" style="305"/>
    <col min="513" max="513" width="9" style="305" customWidth="1"/>
    <col min="514" max="515" width="5.125" style="305" customWidth="1"/>
    <col min="516" max="519" width="4.125" style="305" customWidth="1"/>
    <col min="520" max="520" width="5.125" style="305" customWidth="1"/>
    <col min="521" max="532" width="4.125" style="305" customWidth="1"/>
    <col min="533" max="768" width="9" style="305"/>
    <col min="769" max="769" width="9" style="305" customWidth="1"/>
    <col min="770" max="771" width="5.125" style="305" customWidth="1"/>
    <col min="772" max="775" width="4.125" style="305" customWidth="1"/>
    <col min="776" max="776" width="5.125" style="305" customWidth="1"/>
    <col min="777" max="788" width="4.125" style="305" customWidth="1"/>
    <col min="789" max="1024" width="9" style="305"/>
    <col min="1025" max="1025" width="9" style="305" customWidth="1"/>
    <col min="1026" max="1027" width="5.125" style="305" customWidth="1"/>
    <col min="1028" max="1031" width="4.125" style="305" customWidth="1"/>
    <col min="1032" max="1032" width="5.125" style="305" customWidth="1"/>
    <col min="1033" max="1044" width="4.125" style="305" customWidth="1"/>
    <col min="1045" max="1280" width="9" style="305"/>
    <col min="1281" max="1281" width="9" style="305" customWidth="1"/>
    <col min="1282" max="1283" width="5.125" style="305" customWidth="1"/>
    <col min="1284" max="1287" width="4.125" style="305" customWidth="1"/>
    <col min="1288" max="1288" width="5.125" style="305" customWidth="1"/>
    <col min="1289" max="1300" width="4.125" style="305" customWidth="1"/>
    <col min="1301" max="1536" width="9" style="305"/>
    <col min="1537" max="1537" width="9" style="305" customWidth="1"/>
    <col min="1538" max="1539" width="5.125" style="305" customWidth="1"/>
    <col min="1540" max="1543" width="4.125" style="305" customWidth="1"/>
    <col min="1544" max="1544" width="5.125" style="305" customWidth="1"/>
    <col min="1545" max="1556" width="4.125" style="305" customWidth="1"/>
    <col min="1557" max="1792" width="9" style="305"/>
    <col min="1793" max="1793" width="9" style="305" customWidth="1"/>
    <col min="1794" max="1795" width="5.125" style="305" customWidth="1"/>
    <col min="1796" max="1799" width="4.125" style="305" customWidth="1"/>
    <col min="1800" max="1800" width="5.125" style="305" customWidth="1"/>
    <col min="1801" max="1812" width="4.125" style="305" customWidth="1"/>
    <col min="1813" max="2048" width="9" style="305"/>
    <col min="2049" max="2049" width="9" style="305" customWidth="1"/>
    <col min="2050" max="2051" width="5.125" style="305" customWidth="1"/>
    <col min="2052" max="2055" width="4.125" style="305" customWidth="1"/>
    <col min="2056" max="2056" width="5.125" style="305" customWidth="1"/>
    <col min="2057" max="2068" width="4.125" style="305" customWidth="1"/>
    <col min="2069" max="2304" width="9" style="305"/>
    <col min="2305" max="2305" width="9" style="305" customWidth="1"/>
    <col min="2306" max="2307" width="5.125" style="305" customWidth="1"/>
    <col min="2308" max="2311" width="4.125" style="305" customWidth="1"/>
    <col min="2312" max="2312" width="5.125" style="305" customWidth="1"/>
    <col min="2313" max="2324" width="4.125" style="305" customWidth="1"/>
    <col min="2325" max="2560" width="9" style="305"/>
    <col min="2561" max="2561" width="9" style="305" customWidth="1"/>
    <col min="2562" max="2563" width="5.125" style="305" customWidth="1"/>
    <col min="2564" max="2567" width="4.125" style="305" customWidth="1"/>
    <col min="2568" max="2568" width="5.125" style="305" customWidth="1"/>
    <col min="2569" max="2580" width="4.125" style="305" customWidth="1"/>
    <col min="2581" max="2816" width="9" style="305"/>
    <col min="2817" max="2817" width="9" style="305" customWidth="1"/>
    <col min="2818" max="2819" width="5.125" style="305" customWidth="1"/>
    <col min="2820" max="2823" width="4.125" style="305" customWidth="1"/>
    <col min="2824" max="2824" width="5.125" style="305" customWidth="1"/>
    <col min="2825" max="2836" width="4.125" style="305" customWidth="1"/>
    <col min="2837" max="3072" width="9" style="305"/>
    <col min="3073" max="3073" width="9" style="305" customWidth="1"/>
    <col min="3074" max="3075" width="5.125" style="305" customWidth="1"/>
    <col min="3076" max="3079" width="4.125" style="305" customWidth="1"/>
    <col min="3080" max="3080" width="5.125" style="305" customWidth="1"/>
    <col min="3081" max="3092" width="4.125" style="305" customWidth="1"/>
    <col min="3093" max="3328" width="9" style="305"/>
    <col min="3329" max="3329" width="9" style="305" customWidth="1"/>
    <col min="3330" max="3331" width="5.125" style="305" customWidth="1"/>
    <col min="3332" max="3335" width="4.125" style="305" customWidth="1"/>
    <col min="3336" max="3336" width="5.125" style="305" customWidth="1"/>
    <col min="3337" max="3348" width="4.125" style="305" customWidth="1"/>
    <col min="3349" max="3584" width="9" style="305"/>
    <col min="3585" max="3585" width="9" style="305" customWidth="1"/>
    <col min="3586" max="3587" width="5.125" style="305" customWidth="1"/>
    <col min="3588" max="3591" width="4.125" style="305" customWidth="1"/>
    <col min="3592" max="3592" width="5.125" style="305" customWidth="1"/>
    <col min="3593" max="3604" width="4.125" style="305" customWidth="1"/>
    <col min="3605" max="3840" width="9" style="305"/>
    <col min="3841" max="3841" width="9" style="305" customWidth="1"/>
    <col min="3842" max="3843" width="5.125" style="305" customWidth="1"/>
    <col min="3844" max="3847" width="4.125" style="305" customWidth="1"/>
    <col min="3848" max="3848" width="5.125" style="305" customWidth="1"/>
    <col min="3849" max="3860" width="4.125" style="305" customWidth="1"/>
    <col min="3861" max="4096" width="9" style="305"/>
    <col min="4097" max="4097" width="9" style="305" customWidth="1"/>
    <col min="4098" max="4099" width="5.125" style="305" customWidth="1"/>
    <col min="4100" max="4103" width="4.125" style="305" customWidth="1"/>
    <col min="4104" max="4104" width="5.125" style="305" customWidth="1"/>
    <col min="4105" max="4116" width="4.125" style="305" customWidth="1"/>
    <col min="4117" max="4352" width="9" style="305"/>
    <col min="4353" max="4353" width="9" style="305" customWidth="1"/>
    <col min="4354" max="4355" width="5.125" style="305" customWidth="1"/>
    <col min="4356" max="4359" width="4.125" style="305" customWidth="1"/>
    <col min="4360" max="4360" width="5.125" style="305" customWidth="1"/>
    <col min="4361" max="4372" width="4.125" style="305" customWidth="1"/>
    <col min="4373" max="4608" width="9" style="305"/>
    <col min="4609" max="4609" width="9" style="305" customWidth="1"/>
    <col min="4610" max="4611" width="5.125" style="305" customWidth="1"/>
    <col min="4612" max="4615" width="4.125" style="305" customWidth="1"/>
    <col min="4616" max="4616" width="5.125" style="305" customWidth="1"/>
    <col min="4617" max="4628" width="4.125" style="305" customWidth="1"/>
    <col min="4629" max="4864" width="9" style="305"/>
    <col min="4865" max="4865" width="9" style="305" customWidth="1"/>
    <col min="4866" max="4867" width="5.125" style="305" customWidth="1"/>
    <col min="4868" max="4871" width="4.125" style="305" customWidth="1"/>
    <col min="4872" max="4872" width="5.125" style="305" customWidth="1"/>
    <col min="4873" max="4884" width="4.125" style="305" customWidth="1"/>
    <col min="4885" max="5120" width="9" style="305"/>
    <col min="5121" max="5121" width="9" style="305" customWidth="1"/>
    <col min="5122" max="5123" width="5.125" style="305" customWidth="1"/>
    <col min="5124" max="5127" width="4.125" style="305" customWidth="1"/>
    <col min="5128" max="5128" width="5.125" style="305" customWidth="1"/>
    <col min="5129" max="5140" width="4.125" style="305" customWidth="1"/>
    <col min="5141" max="5376" width="9" style="305"/>
    <col min="5377" max="5377" width="9" style="305" customWidth="1"/>
    <col min="5378" max="5379" width="5.125" style="305" customWidth="1"/>
    <col min="5380" max="5383" width="4.125" style="305" customWidth="1"/>
    <col min="5384" max="5384" width="5.125" style="305" customWidth="1"/>
    <col min="5385" max="5396" width="4.125" style="305" customWidth="1"/>
    <col min="5397" max="5632" width="9" style="305"/>
    <col min="5633" max="5633" width="9" style="305" customWidth="1"/>
    <col min="5634" max="5635" width="5.125" style="305" customWidth="1"/>
    <col min="5636" max="5639" width="4.125" style="305" customWidth="1"/>
    <col min="5640" max="5640" width="5.125" style="305" customWidth="1"/>
    <col min="5641" max="5652" width="4.125" style="305" customWidth="1"/>
    <col min="5653" max="5888" width="9" style="305"/>
    <col min="5889" max="5889" width="9" style="305" customWidth="1"/>
    <col min="5890" max="5891" width="5.125" style="305" customWidth="1"/>
    <col min="5892" max="5895" width="4.125" style="305" customWidth="1"/>
    <col min="5896" max="5896" width="5.125" style="305" customWidth="1"/>
    <col min="5897" max="5908" width="4.125" style="305" customWidth="1"/>
    <col min="5909" max="6144" width="9" style="305"/>
    <col min="6145" max="6145" width="9" style="305" customWidth="1"/>
    <col min="6146" max="6147" width="5.125" style="305" customWidth="1"/>
    <col min="6148" max="6151" width="4.125" style="305" customWidth="1"/>
    <col min="6152" max="6152" width="5.125" style="305" customWidth="1"/>
    <col min="6153" max="6164" width="4.125" style="305" customWidth="1"/>
    <col min="6165" max="6400" width="9" style="305"/>
    <col min="6401" max="6401" width="9" style="305" customWidth="1"/>
    <col min="6402" max="6403" width="5.125" style="305" customWidth="1"/>
    <col min="6404" max="6407" width="4.125" style="305" customWidth="1"/>
    <col min="6408" max="6408" width="5.125" style="305" customWidth="1"/>
    <col min="6409" max="6420" width="4.125" style="305" customWidth="1"/>
    <col min="6421" max="6656" width="9" style="305"/>
    <col min="6657" max="6657" width="9" style="305" customWidth="1"/>
    <col min="6658" max="6659" width="5.125" style="305" customWidth="1"/>
    <col min="6660" max="6663" width="4.125" style="305" customWidth="1"/>
    <col min="6664" max="6664" width="5.125" style="305" customWidth="1"/>
    <col min="6665" max="6676" width="4.125" style="305" customWidth="1"/>
    <col min="6677" max="6912" width="9" style="305"/>
    <col min="6913" max="6913" width="9" style="305" customWidth="1"/>
    <col min="6914" max="6915" width="5.125" style="305" customWidth="1"/>
    <col min="6916" max="6919" width="4.125" style="305" customWidth="1"/>
    <col min="6920" max="6920" width="5.125" style="305" customWidth="1"/>
    <col min="6921" max="6932" width="4.125" style="305" customWidth="1"/>
    <col min="6933" max="7168" width="9" style="305"/>
    <col min="7169" max="7169" width="9" style="305" customWidth="1"/>
    <col min="7170" max="7171" width="5.125" style="305" customWidth="1"/>
    <col min="7172" max="7175" width="4.125" style="305" customWidth="1"/>
    <col min="7176" max="7176" width="5.125" style="305" customWidth="1"/>
    <col min="7177" max="7188" width="4.125" style="305" customWidth="1"/>
    <col min="7189" max="7424" width="9" style="305"/>
    <col min="7425" max="7425" width="9" style="305" customWidth="1"/>
    <col min="7426" max="7427" width="5.125" style="305" customWidth="1"/>
    <col min="7428" max="7431" width="4.125" style="305" customWidth="1"/>
    <col min="7432" max="7432" width="5.125" style="305" customWidth="1"/>
    <col min="7433" max="7444" width="4.125" style="305" customWidth="1"/>
    <col min="7445" max="7680" width="9" style="305"/>
    <col min="7681" max="7681" width="9" style="305" customWidth="1"/>
    <col min="7682" max="7683" width="5.125" style="305" customWidth="1"/>
    <col min="7684" max="7687" width="4.125" style="305" customWidth="1"/>
    <col min="7688" max="7688" width="5.125" style="305" customWidth="1"/>
    <col min="7689" max="7700" width="4.125" style="305" customWidth="1"/>
    <col min="7701" max="7936" width="9" style="305"/>
    <col min="7937" max="7937" width="9" style="305" customWidth="1"/>
    <col min="7938" max="7939" width="5.125" style="305" customWidth="1"/>
    <col min="7940" max="7943" width="4.125" style="305" customWidth="1"/>
    <col min="7944" max="7944" width="5.125" style="305" customWidth="1"/>
    <col min="7945" max="7956" width="4.125" style="305" customWidth="1"/>
    <col min="7957" max="8192" width="9" style="305"/>
    <col min="8193" max="8193" width="9" style="305" customWidth="1"/>
    <col min="8194" max="8195" width="5.125" style="305" customWidth="1"/>
    <col min="8196" max="8199" width="4.125" style="305" customWidth="1"/>
    <col min="8200" max="8200" width="5.125" style="305" customWidth="1"/>
    <col min="8201" max="8212" width="4.125" style="305" customWidth="1"/>
    <col min="8213" max="8448" width="9" style="305"/>
    <col min="8449" max="8449" width="9" style="305" customWidth="1"/>
    <col min="8450" max="8451" width="5.125" style="305" customWidth="1"/>
    <col min="8452" max="8455" width="4.125" style="305" customWidth="1"/>
    <col min="8456" max="8456" width="5.125" style="305" customWidth="1"/>
    <col min="8457" max="8468" width="4.125" style="305" customWidth="1"/>
    <col min="8469" max="8704" width="9" style="305"/>
    <col min="8705" max="8705" width="9" style="305" customWidth="1"/>
    <col min="8706" max="8707" width="5.125" style="305" customWidth="1"/>
    <col min="8708" max="8711" width="4.125" style="305" customWidth="1"/>
    <col min="8712" max="8712" width="5.125" style="305" customWidth="1"/>
    <col min="8713" max="8724" width="4.125" style="305" customWidth="1"/>
    <col min="8725" max="8960" width="9" style="305"/>
    <col min="8961" max="8961" width="9" style="305" customWidth="1"/>
    <col min="8962" max="8963" width="5.125" style="305" customWidth="1"/>
    <col min="8964" max="8967" width="4.125" style="305" customWidth="1"/>
    <col min="8968" max="8968" width="5.125" style="305" customWidth="1"/>
    <col min="8969" max="8980" width="4.125" style="305" customWidth="1"/>
    <col min="8981" max="9216" width="9" style="305"/>
    <col min="9217" max="9217" width="9" style="305" customWidth="1"/>
    <col min="9218" max="9219" width="5.125" style="305" customWidth="1"/>
    <col min="9220" max="9223" width="4.125" style="305" customWidth="1"/>
    <col min="9224" max="9224" width="5.125" style="305" customWidth="1"/>
    <col min="9225" max="9236" width="4.125" style="305" customWidth="1"/>
    <col min="9237" max="9472" width="9" style="305"/>
    <col min="9473" max="9473" width="9" style="305" customWidth="1"/>
    <col min="9474" max="9475" width="5.125" style="305" customWidth="1"/>
    <col min="9476" max="9479" width="4.125" style="305" customWidth="1"/>
    <col min="9480" max="9480" width="5.125" style="305" customWidth="1"/>
    <col min="9481" max="9492" width="4.125" style="305" customWidth="1"/>
    <col min="9493" max="9728" width="9" style="305"/>
    <col min="9729" max="9729" width="9" style="305" customWidth="1"/>
    <col min="9730" max="9731" width="5.125" style="305" customWidth="1"/>
    <col min="9732" max="9735" width="4.125" style="305" customWidth="1"/>
    <col min="9736" max="9736" width="5.125" style="305" customWidth="1"/>
    <col min="9737" max="9748" width="4.125" style="305" customWidth="1"/>
    <col min="9749" max="9984" width="9" style="305"/>
    <col min="9985" max="9985" width="9" style="305" customWidth="1"/>
    <col min="9986" max="9987" width="5.125" style="305" customWidth="1"/>
    <col min="9988" max="9991" width="4.125" style="305" customWidth="1"/>
    <col min="9992" max="9992" width="5.125" style="305" customWidth="1"/>
    <col min="9993" max="10004" width="4.125" style="305" customWidth="1"/>
    <col min="10005" max="10240" width="9" style="305"/>
    <col min="10241" max="10241" width="9" style="305" customWidth="1"/>
    <col min="10242" max="10243" width="5.125" style="305" customWidth="1"/>
    <col min="10244" max="10247" width="4.125" style="305" customWidth="1"/>
    <col min="10248" max="10248" width="5.125" style="305" customWidth="1"/>
    <col min="10249" max="10260" width="4.125" style="305" customWidth="1"/>
    <col min="10261" max="10496" width="9" style="305"/>
    <col min="10497" max="10497" width="9" style="305" customWidth="1"/>
    <col min="10498" max="10499" width="5.125" style="305" customWidth="1"/>
    <col min="10500" max="10503" width="4.125" style="305" customWidth="1"/>
    <col min="10504" max="10504" width="5.125" style="305" customWidth="1"/>
    <col min="10505" max="10516" width="4.125" style="305" customWidth="1"/>
    <col min="10517" max="10752" width="9" style="305"/>
    <col min="10753" max="10753" width="9" style="305" customWidth="1"/>
    <col min="10754" max="10755" width="5.125" style="305" customWidth="1"/>
    <col min="10756" max="10759" width="4.125" style="305" customWidth="1"/>
    <col min="10760" max="10760" width="5.125" style="305" customWidth="1"/>
    <col min="10761" max="10772" width="4.125" style="305" customWidth="1"/>
    <col min="10773" max="11008" width="9" style="305"/>
    <col min="11009" max="11009" width="9" style="305" customWidth="1"/>
    <col min="11010" max="11011" width="5.125" style="305" customWidth="1"/>
    <col min="11012" max="11015" width="4.125" style="305" customWidth="1"/>
    <col min="11016" max="11016" width="5.125" style="305" customWidth="1"/>
    <col min="11017" max="11028" width="4.125" style="305" customWidth="1"/>
    <col min="11029" max="11264" width="9" style="305"/>
    <col min="11265" max="11265" width="9" style="305" customWidth="1"/>
    <col min="11266" max="11267" width="5.125" style="305" customWidth="1"/>
    <col min="11268" max="11271" width="4.125" style="305" customWidth="1"/>
    <col min="11272" max="11272" width="5.125" style="305" customWidth="1"/>
    <col min="11273" max="11284" width="4.125" style="305" customWidth="1"/>
    <col min="11285" max="11520" width="9" style="305"/>
    <col min="11521" max="11521" width="9" style="305" customWidth="1"/>
    <col min="11522" max="11523" width="5.125" style="305" customWidth="1"/>
    <col min="11524" max="11527" width="4.125" style="305" customWidth="1"/>
    <col min="11528" max="11528" width="5.125" style="305" customWidth="1"/>
    <col min="11529" max="11540" width="4.125" style="305" customWidth="1"/>
    <col min="11541" max="11776" width="9" style="305"/>
    <col min="11777" max="11777" width="9" style="305" customWidth="1"/>
    <col min="11778" max="11779" width="5.125" style="305" customWidth="1"/>
    <col min="11780" max="11783" width="4.125" style="305" customWidth="1"/>
    <col min="11784" max="11784" width="5.125" style="305" customWidth="1"/>
    <col min="11785" max="11796" width="4.125" style="305" customWidth="1"/>
    <col min="11797" max="12032" width="9" style="305"/>
    <col min="12033" max="12033" width="9" style="305" customWidth="1"/>
    <col min="12034" max="12035" width="5.125" style="305" customWidth="1"/>
    <col min="12036" max="12039" width="4.125" style="305" customWidth="1"/>
    <col min="12040" max="12040" width="5.125" style="305" customWidth="1"/>
    <col min="12041" max="12052" width="4.125" style="305" customWidth="1"/>
    <col min="12053" max="12288" width="9" style="305"/>
    <col min="12289" max="12289" width="9" style="305" customWidth="1"/>
    <col min="12290" max="12291" width="5.125" style="305" customWidth="1"/>
    <col min="12292" max="12295" width="4.125" style="305" customWidth="1"/>
    <col min="12296" max="12296" width="5.125" style="305" customWidth="1"/>
    <col min="12297" max="12308" width="4.125" style="305" customWidth="1"/>
    <col min="12309" max="12544" width="9" style="305"/>
    <col min="12545" max="12545" width="9" style="305" customWidth="1"/>
    <col min="12546" max="12547" width="5.125" style="305" customWidth="1"/>
    <col min="12548" max="12551" width="4.125" style="305" customWidth="1"/>
    <col min="12552" max="12552" width="5.125" style="305" customWidth="1"/>
    <col min="12553" max="12564" width="4.125" style="305" customWidth="1"/>
    <col min="12565" max="12800" width="9" style="305"/>
    <col min="12801" max="12801" width="9" style="305" customWidth="1"/>
    <col min="12802" max="12803" width="5.125" style="305" customWidth="1"/>
    <col min="12804" max="12807" width="4.125" style="305" customWidth="1"/>
    <col min="12808" max="12808" width="5.125" style="305" customWidth="1"/>
    <col min="12809" max="12820" width="4.125" style="305" customWidth="1"/>
    <col min="12821" max="13056" width="9" style="305"/>
    <col min="13057" max="13057" width="9" style="305" customWidth="1"/>
    <col min="13058" max="13059" width="5.125" style="305" customWidth="1"/>
    <col min="13060" max="13063" width="4.125" style="305" customWidth="1"/>
    <col min="13064" max="13064" width="5.125" style="305" customWidth="1"/>
    <col min="13065" max="13076" width="4.125" style="305" customWidth="1"/>
    <col min="13077" max="13312" width="9" style="305"/>
    <col min="13313" max="13313" width="9" style="305" customWidth="1"/>
    <col min="13314" max="13315" width="5.125" style="305" customWidth="1"/>
    <col min="13316" max="13319" width="4.125" style="305" customWidth="1"/>
    <col min="13320" max="13320" width="5.125" style="305" customWidth="1"/>
    <col min="13321" max="13332" width="4.125" style="305" customWidth="1"/>
    <col min="13333" max="13568" width="9" style="305"/>
    <col min="13569" max="13569" width="9" style="305" customWidth="1"/>
    <col min="13570" max="13571" width="5.125" style="305" customWidth="1"/>
    <col min="13572" max="13575" width="4.125" style="305" customWidth="1"/>
    <col min="13576" max="13576" width="5.125" style="305" customWidth="1"/>
    <col min="13577" max="13588" width="4.125" style="305" customWidth="1"/>
    <col min="13589" max="13824" width="9" style="305"/>
    <col min="13825" max="13825" width="9" style="305" customWidth="1"/>
    <col min="13826" max="13827" width="5.125" style="305" customWidth="1"/>
    <col min="13828" max="13831" width="4.125" style="305" customWidth="1"/>
    <col min="13832" max="13832" width="5.125" style="305" customWidth="1"/>
    <col min="13833" max="13844" width="4.125" style="305" customWidth="1"/>
    <col min="13845" max="14080" width="9" style="305"/>
    <col min="14081" max="14081" width="9" style="305" customWidth="1"/>
    <col min="14082" max="14083" width="5.125" style="305" customWidth="1"/>
    <col min="14084" max="14087" width="4.125" style="305" customWidth="1"/>
    <col min="14088" max="14088" width="5.125" style="305" customWidth="1"/>
    <col min="14089" max="14100" width="4.125" style="305" customWidth="1"/>
    <col min="14101" max="14336" width="9" style="305"/>
    <col min="14337" max="14337" width="9" style="305" customWidth="1"/>
    <col min="14338" max="14339" width="5.125" style="305" customWidth="1"/>
    <col min="14340" max="14343" width="4.125" style="305" customWidth="1"/>
    <col min="14344" max="14344" width="5.125" style="305" customWidth="1"/>
    <col min="14345" max="14356" width="4.125" style="305" customWidth="1"/>
    <col min="14357" max="14592" width="9" style="305"/>
    <col min="14593" max="14593" width="9" style="305" customWidth="1"/>
    <col min="14594" max="14595" width="5.125" style="305" customWidth="1"/>
    <col min="14596" max="14599" width="4.125" style="305" customWidth="1"/>
    <col min="14600" max="14600" width="5.125" style="305" customWidth="1"/>
    <col min="14601" max="14612" width="4.125" style="305" customWidth="1"/>
    <col min="14613" max="14848" width="9" style="305"/>
    <col min="14849" max="14849" width="9" style="305" customWidth="1"/>
    <col min="14850" max="14851" width="5.125" style="305" customWidth="1"/>
    <col min="14852" max="14855" width="4.125" style="305" customWidth="1"/>
    <col min="14856" max="14856" width="5.125" style="305" customWidth="1"/>
    <col min="14857" max="14868" width="4.125" style="305" customWidth="1"/>
    <col min="14869" max="15104" width="9" style="305"/>
    <col min="15105" max="15105" width="9" style="305" customWidth="1"/>
    <col min="15106" max="15107" width="5.125" style="305" customWidth="1"/>
    <col min="15108" max="15111" width="4.125" style="305" customWidth="1"/>
    <col min="15112" max="15112" width="5.125" style="305" customWidth="1"/>
    <col min="15113" max="15124" width="4.125" style="305" customWidth="1"/>
    <col min="15125" max="15360" width="9" style="305"/>
    <col min="15361" max="15361" width="9" style="305" customWidth="1"/>
    <col min="15362" max="15363" width="5.125" style="305" customWidth="1"/>
    <col min="15364" max="15367" width="4.125" style="305" customWidth="1"/>
    <col min="15368" max="15368" width="5.125" style="305" customWidth="1"/>
    <col min="15369" max="15380" width="4.125" style="305" customWidth="1"/>
    <col min="15381" max="15616" width="9" style="305"/>
    <col min="15617" max="15617" width="9" style="305" customWidth="1"/>
    <col min="15618" max="15619" width="5.125" style="305" customWidth="1"/>
    <col min="15620" max="15623" width="4.125" style="305" customWidth="1"/>
    <col min="15624" max="15624" width="5.125" style="305" customWidth="1"/>
    <col min="15625" max="15636" width="4.125" style="305" customWidth="1"/>
    <col min="15637" max="15872" width="9" style="305"/>
    <col min="15873" max="15873" width="9" style="305" customWidth="1"/>
    <col min="15874" max="15875" width="5.125" style="305" customWidth="1"/>
    <col min="15876" max="15879" width="4.125" style="305" customWidth="1"/>
    <col min="15880" max="15880" width="5.125" style="305" customWidth="1"/>
    <col min="15881" max="15892" width="4.125" style="305" customWidth="1"/>
    <col min="15893" max="16128" width="9" style="305"/>
    <col min="16129" max="16129" width="9" style="305" customWidth="1"/>
    <col min="16130" max="16131" width="5.125" style="305" customWidth="1"/>
    <col min="16132" max="16135" width="4.125" style="305" customWidth="1"/>
    <col min="16136" max="16136" width="5.125" style="305" customWidth="1"/>
    <col min="16137" max="16148" width="4.125" style="305" customWidth="1"/>
    <col min="16149" max="16384" width="9" style="305"/>
  </cols>
  <sheetData>
    <row r="1" spans="1:20" s="304" customFormat="1" ht="30" customHeight="1">
      <c r="A1" s="303" t="s">
        <v>212</v>
      </c>
    </row>
    <row r="2" spans="1:20" ht="21" customHeight="1">
      <c r="T2" s="307" t="s">
        <v>213</v>
      </c>
    </row>
    <row r="3" spans="1:20" ht="21" customHeight="1">
      <c r="A3" s="533" t="s">
        <v>214</v>
      </c>
      <c r="B3" s="536" t="s">
        <v>215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8"/>
    </row>
    <row r="4" spans="1:20" ht="21" customHeight="1">
      <c r="A4" s="534"/>
      <c r="B4" s="308"/>
      <c r="C4" s="536" t="s">
        <v>216</v>
      </c>
      <c r="D4" s="537"/>
      <c r="E4" s="537"/>
      <c r="F4" s="537"/>
      <c r="G4" s="538"/>
      <c r="H4" s="539" t="s">
        <v>217</v>
      </c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1"/>
    </row>
    <row r="5" spans="1:20" s="306" customFormat="1" ht="111" customHeight="1">
      <c r="A5" s="535"/>
      <c r="B5" s="309" t="s">
        <v>218</v>
      </c>
      <c r="C5" s="310" t="s">
        <v>219</v>
      </c>
      <c r="D5" s="311" t="s">
        <v>220</v>
      </c>
      <c r="E5" s="311" t="s">
        <v>221</v>
      </c>
      <c r="F5" s="311" t="s">
        <v>222</v>
      </c>
      <c r="G5" s="311" t="s">
        <v>223</v>
      </c>
      <c r="H5" s="312" t="s">
        <v>219</v>
      </c>
      <c r="I5" s="313" t="s">
        <v>224</v>
      </c>
      <c r="J5" s="313" t="s">
        <v>225</v>
      </c>
      <c r="K5" s="313" t="s">
        <v>226</v>
      </c>
      <c r="L5" s="313" t="s">
        <v>227</v>
      </c>
      <c r="M5" s="313" t="s">
        <v>228</v>
      </c>
      <c r="N5" s="313" t="s">
        <v>229</v>
      </c>
      <c r="O5" s="313" t="s">
        <v>230</v>
      </c>
      <c r="P5" s="313" t="s">
        <v>231</v>
      </c>
      <c r="Q5" s="313" t="s">
        <v>232</v>
      </c>
      <c r="R5" s="313" t="s">
        <v>233</v>
      </c>
      <c r="S5" s="313" t="s">
        <v>234</v>
      </c>
      <c r="T5" s="313" t="s">
        <v>235</v>
      </c>
    </row>
    <row r="6" spans="1:20" ht="36" customHeight="1">
      <c r="A6" s="314" t="s">
        <v>236</v>
      </c>
      <c r="B6" s="315">
        <f t="shared" ref="B6:B11" si="0">C6+H6</f>
        <v>49092</v>
      </c>
      <c r="C6" s="315">
        <f t="shared" ref="C6:C11" si="1">SUM(D6:G6)</f>
        <v>37583</v>
      </c>
      <c r="D6" s="316">
        <v>9227</v>
      </c>
      <c r="E6" s="316">
        <v>9870</v>
      </c>
      <c r="F6" s="316">
        <v>9146</v>
      </c>
      <c r="G6" s="316">
        <v>9340</v>
      </c>
      <c r="H6" s="317">
        <f t="shared" ref="H6:H11" si="2">SUM(I6:T6)</f>
        <v>11509</v>
      </c>
      <c r="I6" s="318">
        <v>693</v>
      </c>
      <c r="J6" s="318">
        <v>592</v>
      </c>
      <c r="K6" s="318">
        <v>84</v>
      </c>
      <c r="L6" s="318">
        <v>942</v>
      </c>
      <c r="M6" s="318">
        <v>480</v>
      </c>
      <c r="N6" s="318">
        <v>185</v>
      </c>
      <c r="O6" s="318">
        <v>1828</v>
      </c>
      <c r="P6" s="318">
        <v>1451</v>
      </c>
      <c r="Q6" s="318">
        <v>1129</v>
      </c>
      <c r="R6" s="318">
        <v>1013</v>
      </c>
      <c r="S6" s="318">
        <v>1087</v>
      </c>
      <c r="T6" s="318">
        <v>2025</v>
      </c>
    </row>
    <row r="7" spans="1:20" ht="36" customHeight="1">
      <c r="A7" s="314" t="s">
        <v>237</v>
      </c>
      <c r="B7" s="315">
        <f t="shared" si="0"/>
        <v>64649</v>
      </c>
      <c r="C7" s="315">
        <f t="shared" si="1"/>
        <v>44034</v>
      </c>
      <c r="D7" s="316">
        <v>11140</v>
      </c>
      <c r="E7" s="316">
        <v>11925</v>
      </c>
      <c r="F7" s="316">
        <v>10661</v>
      </c>
      <c r="G7" s="316">
        <v>10308</v>
      </c>
      <c r="H7" s="317">
        <f t="shared" si="2"/>
        <v>20615</v>
      </c>
      <c r="I7" s="318">
        <v>1700</v>
      </c>
      <c r="J7" s="318">
        <v>1210</v>
      </c>
      <c r="K7" s="318">
        <v>166</v>
      </c>
      <c r="L7" s="318">
        <v>2117</v>
      </c>
      <c r="M7" s="318">
        <v>878</v>
      </c>
      <c r="N7" s="318">
        <v>367</v>
      </c>
      <c r="O7" s="318">
        <v>3012</v>
      </c>
      <c r="P7" s="318">
        <v>2983</v>
      </c>
      <c r="Q7" s="318">
        <v>1355</v>
      </c>
      <c r="R7" s="318">
        <v>1523</v>
      </c>
      <c r="S7" s="318">
        <v>2112</v>
      </c>
      <c r="T7" s="318">
        <v>3192</v>
      </c>
    </row>
    <row r="8" spans="1:20" ht="36" customHeight="1">
      <c r="A8" s="314" t="s">
        <v>238</v>
      </c>
      <c r="B8" s="315">
        <f t="shared" si="0"/>
        <v>76026</v>
      </c>
      <c r="C8" s="315">
        <f t="shared" si="1"/>
        <v>54099</v>
      </c>
      <c r="D8" s="316">
        <v>15338</v>
      </c>
      <c r="E8" s="316">
        <v>14774</v>
      </c>
      <c r="F8" s="316">
        <v>12225</v>
      </c>
      <c r="G8" s="316">
        <v>11762</v>
      </c>
      <c r="H8" s="317">
        <f t="shared" si="2"/>
        <v>21927</v>
      </c>
      <c r="I8" s="318">
        <v>2184</v>
      </c>
      <c r="J8" s="318">
        <v>1523</v>
      </c>
      <c r="K8" s="318">
        <v>217</v>
      </c>
      <c r="L8" s="318">
        <v>2870</v>
      </c>
      <c r="M8" s="318">
        <v>1017</v>
      </c>
      <c r="N8" s="318">
        <v>328</v>
      </c>
      <c r="O8" s="318">
        <v>2743</v>
      </c>
      <c r="P8" s="318">
        <v>2930</v>
      </c>
      <c r="Q8" s="318">
        <v>1027</v>
      </c>
      <c r="R8" s="318">
        <v>2026</v>
      </c>
      <c r="S8" s="318">
        <v>2124</v>
      </c>
      <c r="T8" s="318">
        <v>2938</v>
      </c>
    </row>
    <row r="9" spans="1:20" ht="36" customHeight="1">
      <c r="A9" s="314" t="s">
        <v>239</v>
      </c>
      <c r="B9" s="315">
        <f t="shared" si="0"/>
        <v>79537</v>
      </c>
      <c r="C9" s="315">
        <f t="shared" si="1"/>
        <v>55882</v>
      </c>
      <c r="D9" s="316">
        <v>16523</v>
      </c>
      <c r="E9" s="316">
        <v>16497</v>
      </c>
      <c r="F9" s="316">
        <v>11518</v>
      </c>
      <c r="G9" s="316">
        <v>11344</v>
      </c>
      <c r="H9" s="317">
        <f t="shared" si="2"/>
        <v>23655</v>
      </c>
      <c r="I9" s="318">
        <v>2765</v>
      </c>
      <c r="J9" s="318">
        <v>1956</v>
      </c>
      <c r="K9" s="318">
        <v>248</v>
      </c>
      <c r="L9" s="318">
        <v>2862</v>
      </c>
      <c r="M9" s="318">
        <v>931</v>
      </c>
      <c r="N9" s="318">
        <v>380</v>
      </c>
      <c r="O9" s="318">
        <v>3167</v>
      </c>
      <c r="P9" s="318">
        <v>3572</v>
      </c>
      <c r="Q9" s="318">
        <v>805</v>
      </c>
      <c r="R9" s="318">
        <v>1394</v>
      </c>
      <c r="S9" s="318">
        <v>2200</v>
      </c>
      <c r="T9" s="318">
        <v>3375</v>
      </c>
    </row>
    <row r="10" spans="1:20" ht="36" customHeight="1">
      <c r="A10" s="314" t="s">
        <v>240</v>
      </c>
      <c r="B10" s="315">
        <f t="shared" si="0"/>
        <v>85110</v>
      </c>
      <c r="C10" s="315">
        <f t="shared" si="1"/>
        <v>61057</v>
      </c>
      <c r="D10" s="316">
        <v>17647</v>
      </c>
      <c r="E10" s="316">
        <v>18608</v>
      </c>
      <c r="F10" s="316">
        <v>11938</v>
      </c>
      <c r="G10" s="316">
        <v>12864</v>
      </c>
      <c r="H10" s="317">
        <f t="shared" si="2"/>
        <v>24053</v>
      </c>
      <c r="I10" s="318">
        <v>3251</v>
      </c>
      <c r="J10" s="318">
        <v>2101</v>
      </c>
      <c r="K10" s="318">
        <v>350</v>
      </c>
      <c r="L10" s="318">
        <v>3036</v>
      </c>
      <c r="M10" s="318">
        <v>971</v>
      </c>
      <c r="N10" s="318">
        <v>302</v>
      </c>
      <c r="O10" s="318">
        <v>3639</v>
      </c>
      <c r="P10" s="318">
        <v>3182</v>
      </c>
      <c r="Q10" s="318">
        <v>505</v>
      </c>
      <c r="R10" s="318">
        <v>1106</v>
      </c>
      <c r="S10" s="318">
        <v>2599</v>
      </c>
      <c r="T10" s="318">
        <v>3011</v>
      </c>
    </row>
    <row r="11" spans="1:20" s="320" customFormat="1" ht="36" customHeight="1">
      <c r="A11" s="319" t="s">
        <v>241</v>
      </c>
      <c r="B11" s="317">
        <f t="shared" si="0"/>
        <v>89764</v>
      </c>
      <c r="C11" s="317">
        <f t="shared" si="1"/>
        <v>65501</v>
      </c>
      <c r="D11" s="318">
        <v>18754</v>
      </c>
      <c r="E11" s="318">
        <v>19472</v>
      </c>
      <c r="F11" s="318">
        <v>13029</v>
      </c>
      <c r="G11" s="318">
        <v>14246</v>
      </c>
      <c r="H11" s="317">
        <f t="shared" si="2"/>
        <v>24263</v>
      </c>
      <c r="I11" s="318">
        <v>2985</v>
      </c>
      <c r="J11" s="318">
        <v>2331</v>
      </c>
      <c r="K11" s="318">
        <v>147</v>
      </c>
      <c r="L11" s="318">
        <v>3233</v>
      </c>
      <c r="M11" s="318">
        <v>1380</v>
      </c>
      <c r="N11" s="318">
        <v>110</v>
      </c>
      <c r="O11" s="318">
        <v>4542</v>
      </c>
      <c r="P11" s="318">
        <v>2580</v>
      </c>
      <c r="Q11" s="318">
        <v>411</v>
      </c>
      <c r="R11" s="318">
        <v>1300</v>
      </c>
      <c r="S11" s="318">
        <v>1963</v>
      </c>
      <c r="T11" s="318">
        <v>3281</v>
      </c>
    </row>
    <row r="12" spans="1:20" s="320" customFormat="1" ht="36" customHeight="1">
      <c r="A12" s="319" t="s">
        <v>242</v>
      </c>
      <c r="B12" s="317">
        <f>C12+H12</f>
        <v>90544</v>
      </c>
      <c r="C12" s="317">
        <f>SUM(D12:G12)</f>
        <v>66431</v>
      </c>
      <c r="D12" s="318">
        <v>19305</v>
      </c>
      <c r="E12" s="318">
        <v>17881</v>
      </c>
      <c r="F12" s="318">
        <v>14720</v>
      </c>
      <c r="G12" s="318">
        <v>14525</v>
      </c>
      <c r="H12" s="317">
        <f>SUM(I12:T12)</f>
        <v>24113</v>
      </c>
      <c r="I12" s="318">
        <v>2844</v>
      </c>
      <c r="J12" s="318">
        <v>2879</v>
      </c>
      <c r="K12" s="318" t="s">
        <v>243</v>
      </c>
      <c r="L12" s="318">
        <v>3151</v>
      </c>
      <c r="M12" s="318">
        <v>1877</v>
      </c>
      <c r="N12" s="318" t="s">
        <v>243</v>
      </c>
      <c r="O12" s="318">
        <v>4521</v>
      </c>
      <c r="P12" s="318">
        <v>2642</v>
      </c>
      <c r="Q12" s="318">
        <v>503</v>
      </c>
      <c r="R12" s="318">
        <v>930</v>
      </c>
      <c r="S12" s="318">
        <v>1729</v>
      </c>
      <c r="T12" s="318">
        <v>3037</v>
      </c>
    </row>
    <row r="13" spans="1:20" ht="30" customHeight="1">
      <c r="A13" s="321" t="s">
        <v>244</v>
      </c>
      <c r="T13" s="322" t="s">
        <v>245</v>
      </c>
    </row>
  </sheetData>
  <mergeCells count="4">
    <mergeCell ref="A3:A5"/>
    <mergeCell ref="B3:T3"/>
    <mergeCell ref="C4:G4"/>
    <mergeCell ref="H4:T4"/>
  </mergeCells>
  <phoneticPr fontId="1"/>
  <pageMargins left="0.59055118110236227" right="0.39370078740157483" top="0.78740157480314965" bottom="0.78740157480314965" header="0.39370078740157483" footer="0.39370078740157483"/>
  <pageSetup paperSize="9" orientation="portrait" r:id="rId1"/>
  <headerFooter>
    <oddHeader>&amp;R15.交通・通信</oddHeader>
    <oddFooter>&amp;C-105-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7"/>
  <sheetViews>
    <sheetView showGridLines="0" workbookViewId="0">
      <selection activeCell="V39" sqref="V39"/>
    </sheetView>
  </sheetViews>
  <sheetFormatPr defaultRowHeight="11.25"/>
  <cols>
    <col min="1" max="1" width="3.625" style="150" customWidth="1"/>
    <col min="2" max="2" width="7.625" style="150" customWidth="1"/>
    <col min="3" max="3" width="7.125" style="150" customWidth="1"/>
    <col min="4" max="4" width="6.625" style="150" customWidth="1"/>
    <col min="5" max="6" width="5.625" style="150" customWidth="1"/>
    <col min="7" max="7" width="4.625" style="150" customWidth="1"/>
    <col min="8" max="9" width="4.125" style="150" customWidth="1"/>
    <col min="10" max="11" width="6.125" style="150" customWidth="1"/>
    <col min="12" max="12" width="5.625" style="150" customWidth="1"/>
    <col min="13" max="13" width="4.625" style="150" customWidth="1"/>
    <col min="14" max="14" width="4.375" style="150" customWidth="1"/>
    <col min="15" max="15" width="4.625" style="150" customWidth="1"/>
    <col min="16" max="17" width="5.625" style="150" customWidth="1"/>
    <col min="18" max="18" width="4.625" style="150" customWidth="1"/>
    <col min="19" max="16384" width="9" style="150"/>
  </cols>
  <sheetData>
    <row r="1" spans="1:18" ht="30" customHeight="1">
      <c r="A1" s="198" t="s">
        <v>190</v>
      </c>
    </row>
    <row r="2" spans="1:18" ht="18" customHeight="1">
      <c r="B2" s="239" t="s">
        <v>191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02"/>
      <c r="P2" s="202"/>
      <c r="R2" s="204" t="s">
        <v>192</v>
      </c>
    </row>
    <row r="3" spans="1:18" ht="15" customHeight="1">
      <c r="B3" s="552" t="s">
        <v>23</v>
      </c>
      <c r="C3" s="502" t="s">
        <v>193</v>
      </c>
      <c r="D3" s="504" t="s">
        <v>194</v>
      </c>
      <c r="E3" s="555"/>
      <c r="F3" s="555"/>
      <c r="G3" s="555"/>
      <c r="H3" s="555"/>
      <c r="I3" s="555"/>
      <c r="J3" s="555"/>
      <c r="K3" s="555"/>
      <c r="L3" s="555"/>
      <c r="M3" s="505"/>
      <c r="N3" s="556" t="s">
        <v>195</v>
      </c>
      <c r="O3" s="558" t="s">
        <v>196</v>
      </c>
      <c r="P3" s="559"/>
      <c r="Q3" s="559"/>
      <c r="R3" s="560"/>
    </row>
    <row r="4" spans="1:18" ht="15" customHeight="1">
      <c r="B4" s="552"/>
      <c r="C4" s="553"/>
      <c r="D4" s="561" t="s">
        <v>197</v>
      </c>
      <c r="E4" s="562" t="s">
        <v>198</v>
      </c>
      <c r="F4" s="562"/>
      <c r="G4" s="562"/>
      <c r="H4" s="562" t="s">
        <v>199</v>
      </c>
      <c r="I4" s="562"/>
      <c r="J4" s="562" t="s">
        <v>200</v>
      </c>
      <c r="K4" s="562"/>
      <c r="L4" s="563" t="s">
        <v>201</v>
      </c>
      <c r="M4" s="564"/>
      <c r="N4" s="557"/>
      <c r="O4" s="542" t="s">
        <v>202</v>
      </c>
      <c r="P4" s="544" t="s">
        <v>203</v>
      </c>
      <c r="Q4" s="565" t="s">
        <v>204</v>
      </c>
      <c r="R4" s="567" t="s">
        <v>205</v>
      </c>
    </row>
    <row r="5" spans="1:18" ht="15" customHeight="1">
      <c r="B5" s="552"/>
      <c r="C5" s="553"/>
      <c r="D5" s="561"/>
      <c r="E5" s="546" t="s">
        <v>206</v>
      </c>
      <c r="F5" s="546" t="s">
        <v>207</v>
      </c>
      <c r="G5" s="569" t="s">
        <v>208</v>
      </c>
      <c r="H5" s="546" t="s">
        <v>206</v>
      </c>
      <c r="I5" s="546" t="s">
        <v>207</v>
      </c>
      <c r="J5" s="546" t="s">
        <v>206</v>
      </c>
      <c r="K5" s="546" t="s">
        <v>207</v>
      </c>
      <c r="L5" s="548" t="s">
        <v>209</v>
      </c>
      <c r="M5" s="550" t="s">
        <v>210</v>
      </c>
      <c r="N5" s="557"/>
      <c r="O5" s="543"/>
      <c r="P5" s="545"/>
      <c r="Q5" s="566"/>
      <c r="R5" s="568"/>
    </row>
    <row r="6" spans="1:18" ht="15" customHeight="1">
      <c r="B6" s="552"/>
      <c r="C6" s="554"/>
      <c r="D6" s="542"/>
      <c r="E6" s="547"/>
      <c r="F6" s="547"/>
      <c r="G6" s="570"/>
      <c r="H6" s="547"/>
      <c r="I6" s="547"/>
      <c r="J6" s="547"/>
      <c r="K6" s="547"/>
      <c r="L6" s="549"/>
      <c r="M6" s="551"/>
      <c r="N6" s="557"/>
      <c r="O6" s="543"/>
      <c r="P6" s="545"/>
      <c r="Q6" s="566"/>
      <c r="R6" s="568"/>
    </row>
    <row r="7" spans="1:18" ht="15" customHeight="1">
      <c r="B7" s="14" t="s">
        <v>31</v>
      </c>
      <c r="C7" s="241">
        <f t="shared" ref="C7:Q7" si="0">SUM(C8:C11)</f>
        <v>66745</v>
      </c>
      <c r="D7" s="242">
        <f t="shared" si="0"/>
        <v>44420</v>
      </c>
      <c r="E7" s="243">
        <f t="shared" si="0"/>
        <v>2323</v>
      </c>
      <c r="F7" s="244">
        <f t="shared" si="0"/>
        <v>4088</v>
      </c>
      <c r="G7" s="244">
        <f t="shared" si="0"/>
        <v>129</v>
      </c>
      <c r="H7" s="244">
        <f t="shared" si="0"/>
        <v>42</v>
      </c>
      <c r="I7" s="244">
        <f t="shared" si="0"/>
        <v>106</v>
      </c>
      <c r="J7" s="244">
        <f t="shared" si="0"/>
        <v>10565</v>
      </c>
      <c r="K7" s="244">
        <f t="shared" si="0"/>
        <v>25731</v>
      </c>
      <c r="L7" s="245">
        <f t="shared" si="0"/>
        <v>1052</v>
      </c>
      <c r="M7" s="246">
        <f t="shared" si="0"/>
        <v>384</v>
      </c>
      <c r="N7" s="247">
        <f t="shared" si="0"/>
        <v>722</v>
      </c>
      <c r="O7" s="242">
        <f t="shared" si="0"/>
        <v>674</v>
      </c>
      <c r="P7" s="244">
        <f t="shared" si="0"/>
        <v>10524</v>
      </c>
      <c r="Q7" s="248">
        <f t="shared" si="0"/>
        <v>10405</v>
      </c>
      <c r="R7" s="249"/>
    </row>
    <row r="8" spans="1:18" ht="15" customHeight="1">
      <c r="B8" s="20" t="s">
        <v>8</v>
      </c>
      <c r="C8" s="250">
        <f>+D8+N8+O8+P8+Q8</f>
        <v>17726</v>
      </c>
      <c r="D8" s="251">
        <f>SUM(E8:M8)</f>
        <v>11658</v>
      </c>
      <c r="E8" s="252">
        <v>471</v>
      </c>
      <c r="F8" s="253">
        <v>1040</v>
      </c>
      <c r="G8" s="253">
        <v>14</v>
      </c>
      <c r="H8" s="253">
        <v>8</v>
      </c>
      <c r="I8" s="253">
        <v>35</v>
      </c>
      <c r="J8" s="253">
        <v>2790</v>
      </c>
      <c r="K8" s="253">
        <v>6830</v>
      </c>
      <c r="L8" s="254">
        <v>335</v>
      </c>
      <c r="M8" s="255">
        <v>135</v>
      </c>
      <c r="N8" s="256">
        <v>225</v>
      </c>
      <c r="O8" s="251">
        <v>203</v>
      </c>
      <c r="P8" s="253">
        <v>2868</v>
      </c>
      <c r="Q8" s="257">
        <v>2772</v>
      </c>
      <c r="R8" s="249"/>
    </row>
    <row r="9" spans="1:18" ht="15" customHeight="1">
      <c r="B9" s="20" t="s">
        <v>11</v>
      </c>
      <c r="C9" s="250">
        <f>+D9+N9+O9+P9+Q9</f>
        <v>22897</v>
      </c>
      <c r="D9" s="251">
        <f>SUM(E9:M9)</f>
        <v>15758</v>
      </c>
      <c r="E9" s="252">
        <v>1034</v>
      </c>
      <c r="F9" s="253">
        <v>1473</v>
      </c>
      <c r="G9" s="253">
        <v>74</v>
      </c>
      <c r="H9" s="253">
        <v>25</v>
      </c>
      <c r="I9" s="253">
        <v>40</v>
      </c>
      <c r="J9" s="253">
        <v>3677</v>
      </c>
      <c r="K9" s="253">
        <v>8892</v>
      </c>
      <c r="L9" s="254">
        <v>413</v>
      </c>
      <c r="M9" s="255">
        <v>130</v>
      </c>
      <c r="N9" s="256">
        <v>260</v>
      </c>
      <c r="O9" s="251">
        <v>242</v>
      </c>
      <c r="P9" s="253">
        <v>3133</v>
      </c>
      <c r="Q9" s="257">
        <v>3504</v>
      </c>
      <c r="R9" s="249"/>
    </row>
    <row r="10" spans="1:18" ht="15" customHeight="1">
      <c r="B10" s="20" t="s">
        <v>12</v>
      </c>
      <c r="C10" s="250">
        <f>+D10+N10+O10+P10+Q10</f>
        <v>16276</v>
      </c>
      <c r="D10" s="251">
        <f>SUM(E10:M10)</f>
        <v>10920</v>
      </c>
      <c r="E10" s="252">
        <v>514</v>
      </c>
      <c r="F10" s="253">
        <v>1016</v>
      </c>
      <c r="G10" s="253">
        <v>13</v>
      </c>
      <c r="H10" s="253">
        <v>7</v>
      </c>
      <c r="I10" s="253">
        <v>17</v>
      </c>
      <c r="J10" s="253">
        <v>2630</v>
      </c>
      <c r="K10" s="253">
        <v>6456</v>
      </c>
      <c r="L10" s="254">
        <v>198</v>
      </c>
      <c r="M10" s="255">
        <v>69</v>
      </c>
      <c r="N10" s="256">
        <v>159</v>
      </c>
      <c r="O10" s="251">
        <v>135</v>
      </c>
      <c r="P10" s="253">
        <v>2379</v>
      </c>
      <c r="Q10" s="257">
        <v>2683</v>
      </c>
      <c r="R10" s="249"/>
    </row>
    <row r="11" spans="1:18" ht="15" customHeight="1">
      <c r="B11" s="31" t="s">
        <v>34</v>
      </c>
      <c r="C11" s="250">
        <f>+D11+N11+O11+P11+Q11</f>
        <v>9846</v>
      </c>
      <c r="D11" s="251">
        <f>SUM(E11:M11)</f>
        <v>6084</v>
      </c>
      <c r="E11" s="235">
        <v>304</v>
      </c>
      <c r="F11" s="236">
        <v>559</v>
      </c>
      <c r="G11" s="236">
        <v>28</v>
      </c>
      <c r="H11" s="236">
        <v>2</v>
      </c>
      <c r="I11" s="236">
        <v>14</v>
      </c>
      <c r="J11" s="236">
        <v>1468</v>
      </c>
      <c r="K11" s="236">
        <v>3553</v>
      </c>
      <c r="L11" s="258">
        <v>106</v>
      </c>
      <c r="M11" s="259">
        <v>50</v>
      </c>
      <c r="N11" s="260">
        <v>78</v>
      </c>
      <c r="O11" s="234">
        <v>94</v>
      </c>
      <c r="P11" s="236">
        <v>2144</v>
      </c>
      <c r="Q11" s="237">
        <v>1446</v>
      </c>
      <c r="R11" s="249"/>
    </row>
    <row r="12" spans="1:18" ht="15" customHeight="1">
      <c r="B12" s="14" t="s">
        <v>35</v>
      </c>
      <c r="C12" s="241">
        <f t="shared" ref="C12:Q12" si="1">SUM(C13:C16)</f>
        <v>68085</v>
      </c>
      <c r="D12" s="242">
        <f t="shared" si="1"/>
        <v>44977</v>
      </c>
      <c r="E12" s="243">
        <f t="shared" si="1"/>
        <v>2276</v>
      </c>
      <c r="F12" s="244">
        <f t="shared" si="1"/>
        <v>3970</v>
      </c>
      <c r="G12" s="244">
        <f t="shared" si="1"/>
        <v>130</v>
      </c>
      <c r="H12" s="244">
        <f t="shared" si="1"/>
        <v>48</v>
      </c>
      <c r="I12" s="244">
        <f t="shared" si="1"/>
        <v>103</v>
      </c>
      <c r="J12" s="244">
        <f t="shared" si="1"/>
        <v>11453</v>
      </c>
      <c r="K12" s="244">
        <f t="shared" si="1"/>
        <v>25548</v>
      </c>
      <c r="L12" s="245">
        <f t="shared" si="1"/>
        <v>1052</v>
      </c>
      <c r="M12" s="246">
        <f t="shared" si="1"/>
        <v>397</v>
      </c>
      <c r="N12" s="247">
        <f t="shared" si="1"/>
        <v>766</v>
      </c>
      <c r="O12" s="242">
        <f t="shared" si="1"/>
        <v>665</v>
      </c>
      <c r="P12" s="244">
        <f t="shared" si="1"/>
        <v>10199</v>
      </c>
      <c r="Q12" s="248">
        <f t="shared" si="1"/>
        <v>11478</v>
      </c>
      <c r="R12" s="249"/>
    </row>
    <row r="13" spans="1:18" ht="15" customHeight="1">
      <c r="B13" s="20" t="s">
        <v>8</v>
      </c>
      <c r="C13" s="250">
        <f>+D13+N13+O13+P13+Q13</f>
        <v>17911</v>
      </c>
      <c r="D13" s="251">
        <f>SUM(E13:M13)</f>
        <v>11711</v>
      </c>
      <c r="E13" s="252">
        <f>312+122</f>
        <v>434</v>
      </c>
      <c r="F13" s="253">
        <v>1016</v>
      </c>
      <c r="G13" s="253">
        <v>15</v>
      </c>
      <c r="H13" s="253">
        <v>9</v>
      </c>
      <c r="I13" s="253">
        <v>35</v>
      </c>
      <c r="J13" s="253">
        <v>3014</v>
      </c>
      <c r="K13" s="253">
        <f>6695+20</f>
        <v>6715</v>
      </c>
      <c r="L13" s="254">
        <f>217+117</f>
        <v>334</v>
      </c>
      <c r="M13" s="255">
        <v>139</v>
      </c>
      <c r="N13" s="256">
        <v>230</v>
      </c>
      <c r="O13" s="251">
        <v>201</v>
      </c>
      <c r="P13" s="253">
        <v>2747</v>
      </c>
      <c r="Q13" s="257">
        <v>3022</v>
      </c>
      <c r="R13" s="249"/>
    </row>
    <row r="14" spans="1:18" ht="15" customHeight="1">
      <c r="B14" s="20" t="s">
        <v>11</v>
      </c>
      <c r="C14" s="250">
        <f>+D14+N14+O14+P14+Q14</f>
        <v>23417</v>
      </c>
      <c r="D14" s="251">
        <f>SUM(E14:M14)</f>
        <v>15949</v>
      </c>
      <c r="E14" s="252">
        <f>729+301</f>
        <v>1030</v>
      </c>
      <c r="F14" s="253">
        <f>1387+8</f>
        <v>1395</v>
      </c>
      <c r="G14" s="253">
        <f>24+51</f>
        <v>75</v>
      </c>
      <c r="H14" s="253">
        <v>30</v>
      </c>
      <c r="I14" s="253">
        <v>36</v>
      </c>
      <c r="J14" s="253">
        <v>3982</v>
      </c>
      <c r="K14" s="253">
        <v>8850</v>
      </c>
      <c r="L14" s="254">
        <f>355+59</f>
        <v>414</v>
      </c>
      <c r="M14" s="255">
        <v>137</v>
      </c>
      <c r="N14" s="256">
        <v>279</v>
      </c>
      <c r="O14" s="251">
        <v>235</v>
      </c>
      <c r="P14" s="253">
        <v>3075</v>
      </c>
      <c r="Q14" s="257">
        <v>3879</v>
      </c>
      <c r="R14" s="249"/>
    </row>
    <row r="15" spans="1:18" ht="15" customHeight="1">
      <c r="B15" s="20" t="s">
        <v>12</v>
      </c>
      <c r="C15" s="250">
        <f>+D15+N15+O15+P15+Q15</f>
        <v>16683</v>
      </c>
      <c r="D15" s="251">
        <f>SUM(E15:M15)</f>
        <v>11121</v>
      </c>
      <c r="E15" s="252">
        <f>370+136</f>
        <v>506</v>
      </c>
      <c r="F15" s="253">
        <f>979+9</f>
        <v>988</v>
      </c>
      <c r="G15" s="253">
        <v>12</v>
      </c>
      <c r="H15" s="253">
        <v>7</v>
      </c>
      <c r="I15" s="253">
        <v>16</v>
      </c>
      <c r="J15" s="253">
        <v>2864</v>
      </c>
      <c r="K15" s="253">
        <f>6447+11</f>
        <v>6458</v>
      </c>
      <c r="L15" s="254">
        <f>181+19</f>
        <v>200</v>
      </c>
      <c r="M15" s="255">
        <v>70</v>
      </c>
      <c r="N15" s="256">
        <v>174</v>
      </c>
      <c r="O15" s="251">
        <v>137</v>
      </c>
      <c r="P15" s="253">
        <v>2300</v>
      </c>
      <c r="Q15" s="257">
        <v>2951</v>
      </c>
      <c r="R15" s="249"/>
    </row>
    <row r="16" spans="1:18" ht="15" customHeight="1">
      <c r="B16" s="31" t="s">
        <v>34</v>
      </c>
      <c r="C16" s="250">
        <f>+D16+N16+O16+P16+Q16</f>
        <v>10074</v>
      </c>
      <c r="D16" s="251">
        <f>SUM(E16:M16)</f>
        <v>6196</v>
      </c>
      <c r="E16" s="235">
        <f>192+114</f>
        <v>306</v>
      </c>
      <c r="F16" s="236">
        <f>566+5</f>
        <v>571</v>
      </c>
      <c r="G16" s="236">
        <v>28</v>
      </c>
      <c r="H16" s="236">
        <v>2</v>
      </c>
      <c r="I16" s="236">
        <v>16</v>
      </c>
      <c r="J16" s="236">
        <v>1593</v>
      </c>
      <c r="K16" s="236">
        <v>3525</v>
      </c>
      <c r="L16" s="258">
        <v>104</v>
      </c>
      <c r="M16" s="259">
        <v>51</v>
      </c>
      <c r="N16" s="260">
        <v>83</v>
      </c>
      <c r="O16" s="234">
        <v>92</v>
      </c>
      <c r="P16" s="236">
        <v>2077</v>
      </c>
      <c r="Q16" s="237">
        <v>1626</v>
      </c>
      <c r="R16" s="249"/>
    </row>
    <row r="17" spans="2:41" ht="15" customHeight="1">
      <c r="B17" s="14" t="s">
        <v>36</v>
      </c>
      <c r="C17" s="241">
        <f t="shared" ref="C17:Q17" si="2">SUM(C18:C21)</f>
        <v>69147</v>
      </c>
      <c r="D17" s="242">
        <f t="shared" si="2"/>
        <v>45234</v>
      </c>
      <c r="E17" s="243">
        <f t="shared" si="2"/>
        <v>2283</v>
      </c>
      <c r="F17" s="244">
        <f t="shared" si="2"/>
        <v>3814</v>
      </c>
      <c r="G17" s="244">
        <f t="shared" si="2"/>
        <v>123</v>
      </c>
      <c r="H17" s="244">
        <f t="shared" si="2"/>
        <v>45</v>
      </c>
      <c r="I17" s="244">
        <f t="shared" si="2"/>
        <v>100</v>
      </c>
      <c r="J17" s="244">
        <f t="shared" si="2"/>
        <v>12149</v>
      </c>
      <c r="K17" s="244">
        <f t="shared" si="2"/>
        <v>25289</v>
      </c>
      <c r="L17" s="245">
        <f t="shared" si="2"/>
        <v>1030</v>
      </c>
      <c r="M17" s="246">
        <f t="shared" si="2"/>
        <v>401</v>
      </c>
      <c r="N17" s="247">
        <f t="shared" si="2"/>
        <v>759</v>
      </c>
      <c r="O17" s="242">
        <f t="shared" si="2"/>
        <v>684</v>
      </c>
      <c r="P17" s="244">
        <f t="shared" si="2"/>
        <v>10059</v>
      </c>
      <c r="Q17" s="248">
        <f t="shared" si="2"/>
        <v>12411</v>
      </c>
      <c r="R17" s="249"/>
    </row>
    <row r="18" spans="2:41" ht="15" customHeight="1">
      <c r="B18" s="20" t="s">
        <v>8</v>
      </c>
      <c r="C18" s="250">
        <f>+D18+N18+O18+P18+Q18</f>
        <v>18134</v>
      </c>
      <c r="D18" s="251">
        <f>SUM(E18:M18)</f>
        <v>11726</v>
      </c>
      <c r="E18" s="252">
        <f>303+126</f>
        <v>429</v>
      </c>
      <c r="F18" s="253">
        <f>965+6</f>
        <v>971</v>
      </c>
      <c r="G18" s="253">
        <v>13</v>
      </c>
      <c r="H18" s="253">
        <v>8</v>
      </c>
      <c r="I18" s="253">
        <v>32</v>
      </c>
      <c r="J18" s="253">
        <v>3164</v>
      </c>
      <c r="K18" s="253">
        <v>6623</v>
      </c>
      <c r="L18" s="254">
        <v>340</v>
      </c>
      <c r="M18" s="255">
        <v>146</v>
      </c>
      <c r="N18" s="256">
        <v>220</v>
      </c>
      <c r="O18" s="251">
        <v>209</v>
      </c>
      <c r="P18" s="253">
        <v>2728</v>
      </c>
      <c r="Q18" s="257">
        <v>3251</v>
      </c>
      <c r="R18" s="249"/>
    </row>
    <row r="19" spans="2:41" ht="15" customHeight="1">
      <c r="B19" s="20" t="s">
        <v>11</v>
      </c>
      <c r="C19" s="250">
        <f>+D19+N19+O19+P19+Q19</f>
        <v>23768</v>
      </c>
      <c r="D19" s="251">
        <f>SUM(E19:M19)</f>
        <v>16111</v>
      </c>
      <c r="E19" s="252">
        <f>712+327</f>
        <v>1039</v>
      </c>
      <c r="F19" s="253">
        <f>1339+2</f>
        <v>1341</v>
      </c>
      <c r="G19" s="253">
        <f>22+49</f>
        <v>71</v>
      </c>
      <c r="H19" s="253">
        <v>29</v>
      </c>
      <c r="I19" s="253">
        <v>35</v>
      </c>
      <c r="J19" s="253">
        <v>4261</v>
      </c>
      <c r="K19" s="253">
        <f>8770+24</f>
        <v>8794</v>
      </c>
      <c r="L19" s="254">
        <f>347+57</f>
        <v>404</v>
      </c>
      <c r="M19" s="255">
        <v>137</v>
      </c>
      <c r="N19" s="256">
        <v>281</v>
      </c>
      <c r="O19" s="251">
        <v>243</v>
      </c>
      <c r="P19" s="253">
        <v>3023</v>
      </c>
      <c r="Q19" s="257">
        <v>4110</v>
      </c>
      <c r="R19" s="249"/>
    </row>
    <row r="20" spans="2:41" ht="15" customHeight="1">
      <c r="B20" s="20" t="s">
        <v>12</v>
      </c>
      <c r="C20" s="250">
        <f>+D20+N20+O20+P20+Q20</f>
        <v>16871</v>
      </c>
      <c r="D20" s="251">
        <f>SUM(E20:M20)</f>
        <v>11117</v>
      </c>
      <c r="E20" s="252">
        <f>358+133</f>
        <v>491</v>
      </c>
      <c r="F20" s="253">
        <f>948+11</f>
        <v>959</v>
      </c>
      <c r="G20" s="253">
        <v>12</v>
      </c>
      <c r="H20" s="253">
        <v>6</v>
      </c>
      <c r="I20" s="253">
        <v>16</v>
      </c>
      <c r="J20" s="253">
        <v>3032</v>
      </c>
      <c r="K20" s="253">
        <f>6335+14</f>
        <v>6349</v>
      </c>
      <c r="L20" s="254">
        <f>165+21</f>
        <v>186</v>
      </c>
      <c r="M20" s="255">
        <v>66</v>
      </c>
      <c r="N20" s="256">
        <v>168</v>
      </c>
      <c r="O20" s="251">
        <v>138</v>
      </c>
      <c r="P20" s="253">
        <v>2227</v>
      </c>
      <c r="Q20" s="257">
        <v>3221</v>
      </c>
      <c r="R20" s="249"/>
    </row>
    <row r="21" spans="2:41" ht="15" customHeight="1">
      <c r="B21" s="31" t="s">
        <v>34</v>
      </c>
      <c r="C21" s="250">
        <f>+D21+N21+O21+P21+Q21</f>
        <v>10374</v>
      </c>
      <c r="D21" s="251">
        <f>SUM(E21:M21)</f>
        <v>6280</v>
      </c>
      <c r="E21" s="235">
        <f>195+129</f>
        <v>324</v>
      </c>
      <c r="F21" s="236">
        <f>539+4</f>
        <v>543</v>
      </c>
      <c r="G21" s="236">
        <v>27</v>
      </c>
      <c r="H21" s="236">
        <v>2</v>
      </c>
      <c r="I21" s="236">
        <v>17</v>
      </c>
      <c r="J21" s="236">
        <v>1692</v>
      </c>
      <c r="K21" s="236">
        <v>3523</v>
      </c>
      <c r="L21" s="258">
        <v>100</v>
      </c>
      <c r="M21" s="259">
        <v>52</v>
      </c>
      <c r="N21" s="260">
        <v>90</v>
      </c>
      <c r="O21" s="234">
        <v>94</v>
      </c>
      <c r="P21" s="236">
        <v>2081</v>
      </c>
      <c r="Q21" s="237">
        <v>1829</v>
      </c>
      <c r="R21" s="249"/>
    </row>
    <row r="22" spans="2:41" ht="15" customHeight="1">
      <c r="B22" s="14" t="s">
        <v>38</v>
      </c>
      <c r="C22" s="241">
        <f t="shared" ref="C22:Q22" si="3">SUM(C23:C26)</f>
        <v>70275</v>
      </c>
      <c r="D22" s="242">
        <f t="shared" si="3"/>
        <v>45610</v>
      </c>
      <c r="E22" s="243">
        <f t="shared" si="3"/>
        <v>2288</v>
      </c>
      <c r="F22" s="244">
        <f t="shared" si="3"/>
        <v>3672</v>
      </c>
      <c r="G22" s="244">
        <f t="shared" si="3"/>
        <v>117</v>
      </c>
      <c r="H22" s="244">
        <f t="shared" si="3"/>
        <v>48</v>
      </c>
      <c r="I22" s="244">
        <f t="shared" si="3"/>
        <v>91</v>
      </c>
      <c r="J22" s="244">
        <f t="shared" si="3"/>
        <v>12663</v>
      </c>
      <c r="K22" s="244">
        <f t="shared" si="3"/>
        <v>25284</v>
      </c>
      <c r="L22" s="245">
        <f t="shared" si="3"/>
        <v>1040</v>
      </c>
      <c r="M22" s="246">
        <f t="shared" si="3"/>
        <v>407</v>
      </c>
      <c r="N22" s="247">
        <f t="shared" si="3"/>
        <v>775</v>
      </c>
      <c r="O22" s="242">
        <f t="shared" si="3"/>
        <v>693</v>
      </c>
      <c r="P22" s="244">
        <f t="shared" si="3"/>
        <v>9858</v>
      </c>
      <c r="Q22" s="248">
        <f t="shared" si="3"/>
        <v>13339</v>
      </c>
      <c r="R22" s="249"/>
    </row>
    <row r="23" spans="2:41" ht="15" customHeight="1">
      <c r="B23" s="20" t="s">
        <v>8</v>
      </c>
      <c r="C23" s="250">
        <f>+D23+N23+O23+P23+Q23</f>
        <v>18294</v>
      </c>
      <c r="D23" s="251">
        <f>SUM(E23:M23)</f>
        <v>11750</v>
      </c>
      <c r="E23" s="252">
        <f>297+140</f>
        <v>437</v>
      </c>
      <c r="F23" s="253">
        <f>929+5</f>
        <v>934</v>
      </c>
      <c r="G23" s="253">
        <v>16</v>
      </c>
      <c r="H23" s="253">
        <v>8</v>
      </c>
      <c r="I23" s="253">
        <v>28</v>
      </c>
      <c r="J23" s="253">
        <v>3318</v>
      </c>
      <c r="K23" s="253">
        <f>6519+23</f>
        <v>6542</v>
      </c>
      <c r="L23" s="254">
        <f>213+111</f>
        <v>324</v>
      </c>
      <c r="M23" s="255">
        <v>143</v>
      </c>
      <c r="N23" s="256">
        <v>215</v>
      </c>
      <c r="O23" s="251">
        <v>211</v>
      </c>
      <c r="P23" s="253">
        <v>2685</v>
      </c>
      <c r="Q23" s="257">
        <v>3433</v>
      </c>
      <c r="R23" s="249"/>
    </row>
    <row r="24" spans="2:41" ht="15" customHeight="1">
      <c r="B24" s="20" t="s">
        <v>11</v>
      </c>
      <c r="C24" s="250">
        <f>+D24+N24+O24+P24+Q24</f>
        <v>24160</v>
      </c>
      <c r="D24" s="251">
        <f>SUM(E24:M24)</f>
        <v>16189</v>
      </c>
      <c r="E24" s="252">
        <f>678+360</f>
        <v>1038</v>
      </c>
      <c r="F24" s="253">
        <f>1276+8</f>
        <v>1284</v>
      </c>
      <c r="G24" s="253">
        <f>20+42</f>
        <v>62</v>
      </c>
      <c r="H24" s="253">
        <v>30</v>
      </c>
      <c r="I24" s="253">
        <v>33</v>
      </c>
      <c r="J24" s="253">
        <v>4414</v>
      </c>
      <c r="K24" s="253">
        <f>8740+26</f>
        <v>8766</v>
      </c>
      <c r="L24" s="254">
        <f>359+63</f>
        <v>422</v>
      </c>
      <c r="M24" s="255">
        <v>140</v>
      </c>
      <c r="N24" s="256">
        <v>286</v>
      </c>
      <c r="O24" s="251">
        <v>244</v>
      </c>
      <c r="P24" s="253">
        <v>2975</v>
      </c>
      <c r="Q24" s="257">
        <v>4466</v>
      </c>
      <c r="R24" s="249"/>
    </row>
    <row r="25" spans="2:41" ht="15" customHeight="1">
      <c r="B25" s="20" t="s">
        <v>12</v>
      </c>
      <c r="C25" s="250">
        <f>+D25+N25+O25+P25+Q25</f>
        <v>17315</v>
      </c>
      <c r="D25" s="251">
        <f>SUM(E25:M25)</f>
        <v>11296</v>
      </c>
      <c r="E25" s="252">
        <f>357+143</f>
        <v>500</v>
      </c>
      <c r="F25" s="253">
        <v>922</v>
      </c>
      <c r="G25" s="253">
        <v>14</v>
      </c>
      <c r="H25" s="253">
        <v>6</v>
      </c>
      <c r="I25" s="253">
        <v>15</v>
      </c>
      <c r="J25" s="253">
        <v>3178</v>
      </c>
      <c r="K25" s="253">
        <f>6382+14</f>
        <v>6396</v>
      </c>
      <c r="L25" s="254">
        <f>171+23</f>
        <v>194</v>
      </c>
      <c r="M25" s="255">
        <v>71</v>
      </c>
      <c r="N25" s="256">
        <v>172</v>
      </c>
      <c r="O25" s="251">
        <v>146</v>
      </c>
      <c r="P25" s="253">
        <v>2168</v>
      </c>
      <c r="Q25" s="257">
        <v>3533</v>
      </c>
      <c r="R25" s="249"/>
    </row>
    <row r="26" spans="2:41" ht="15" customHeight="1">
      <c r="B26" s="31" t="s">
        <v>34</v>
      </c>
      <c r="C26" s="250">
        <f>+D26+N26+O26+P26+Q26</f>
        <v>10506</v>
      </c>
      <c r="D26" s="251">
        <f>SUM(E26:M26)</f>
        <v>6375</v>
      </c>
      <c r="E26" s="235">
        <f>193+120</f>
        <v>313</v>
      </c>
      <c r="F26" s="236">
        <f>526+6</f>
        <v>532</v>
      </c>
      <c r="G26" s="236">
        <v>25</v>
      </c>
      <c r="H26" s="236">
        <v>4</v>
      </c>
      <c r="I26" s="236">
        <v>15</v>
      </c>
      <c r="J26" s="236">
        <v>1753</v>
      </c>
      <c r="K26" s="236">
        <v>3580</v>
      </c>
      <c r="L26" s="258">
        <v>100</v>
      </c>
      <c r="M26" s="259">
        <v>53</v>
      </c>
      <c r="N26" s="260">
        <v>102</v>
      </c>
      <c r="O26" s="234">
        <v>92</v>
      </c>
      <c r="P26" s="236">
        <v>2030</v>
      </c>
      <c r="Q26" s="237">
        <v>1907</v>
      </c>
      <c r="R26" s="249"/>
    </row>
    <row r="27" spans="2:41" ht="15" customHeight="1">
      <c r="B27" s="14" t="s">
        <v>39</v>
      </c>
      <c r="C27" s="241">
        <v>71352</v>
      </c>
      <c r="D27" s="261">
        <v>45837</v>
      </c>
      <c r="E27" s="243">
        <f>1524+761</f>
        <v>2285</v>
      </c>
      <c r="F27" s="244">
        <f>3578+37</f>
        <v>3615</v>
      </c>
      <c r="G27" s="244">
        <f>24+94</f>
        <v>118</v>
      </c>
      <c r="H27" s="244">
        <f>18+32</f>
        <v>50</v>
      </c>
      <c r="I27" s="244">
        <v>92</v>
      </c>
      <c r="J27" s="244">
        <v>13144</v>
      </c>
      <c r="K27" s="244">
        <v>25098</v>
      </c>
      <c r="L27" s="245">
        <f>842+207</f>
        <v>1049</v>
      </c>
      <c r="M27" s="246">
        <v>418</v>
      </c>
      <c r="N27" s="247">
        <v>767</v>
      </c>
      <c r="O27" s="242">
        <v>691</v>
      </c>
      <c r="P27" s="244">
        <v>9802</v>
      </c>
      <c r="Q27" s="248">
        <v>14223</v>
      </c>
      <c r="R27" s="249"/>
    </row>
    <row r="28" spans="2:41" ht="15" customHeight="1">
      <c r="B28" s="20" t="s">
        <v>8</v>
      </c>
      <c r="C28" s="250">
        <v>18512</v>
      </c>
      <c r="D28" s="251">
        <f>11474+326</f>
        <v>11800</v>
      </c>
      <c r="E28" s="252">
        <f>301+151</f>
        <v>452</v>
      </c>
      <c r="F28" s="253">
        <f>901+8</f>
        <v>909</v>
      </c>
      <c r="G28" s="253">
        <f>2+14</f>
        <v>16</v>
      </c>
      <c r="H28" s="253">
        <f>6+2</f>
        <v>8</v>
      </c>
      <c r="I28" s="253">
        <v>25</v>
      </c>
      <c r="J28" s="253">
        <v>3420</v>
      </c>
      <c r="K28" s="253">
        <v>6497</v>
      </c>
      <c r="L28" s="254">
        <f>211+120</f>
        <v>331</v>
      </c>
      <c r="M28" s="255">
        <v>142</v>
      </c>
      <c r="N28" s="256">
        <v>215</v>
      </c>
      <c r="O28" s="251">
        <v>208</v>
      </c>
      <c r="P28" s="253">
        <v>2652</v>
      </c>
      <c r="Q28" s="257">
        <v>3637</v>
      </c>
      <c r="R28" s="249"/>
    </row>
    <row r="29" spans="2:41" ht="15" customHeight="1">
      <c r="B29" s="20" t="s">
        <v>11</v>
      </c>
      <c r="C29" s="250">
        <v>24615</v>
      </c>
      <c r="D29" s="251">
        <f>15767+534</f>
        <v>16301</v>
      </c>
      <c r="E29" s="252">
        <f>671+360</f>
        <v>1031</v>
      </c>
      <c r="F29" s="253">
        <f>1269+8</f>
        <v>1277</v>
      </c>
      <c r="G29" s="253">
        <f>22+41</f>
        <v>63</v>
      </c>
      <c r="H29" s="253">
        <f>4+26</f>
        <v>30</v>
      </c>
      <c r="I29" s="253">
        <v>38</v>
      </c>
      <c r="J29" s="253">
        <v>4626</v>
      </c>
      <c r="K29" s="253">
        <v>8692</v>
      </c>
      <c r="L29" s="254">
        <f>343+62</f>
        <v>405</v>
      </c>
      <c r="M29" s="255">
        <v>139</v>
      </c>
      <c r="N29" s="256">
        <v>265</v>
      </c>
      <c r="O29" s="251">
        <v>244</v>
      </c>
      <c r="P29" s="253">
        <v>2984</v>
      </c>
      <c r="Q29" s="257">
        <v>4821</v>
      </c>
      <c r="R29" s="249"/>
    </row>
    <row r="30" spans="2:41" ht="15" customHeight="1">
      <c r="B30" s="20" t="s">
        <v>12</v>
      </c>
      <c r="C30" s="250">
        <v>17545</v>
      </c>
      <c r="D30" s="251">
        <f>11129+217</f>
        <v>11346</v>
      </c>
      <c r="E30" s="252">
        <f>353+142</f>
        <v>495</v>
      </c>
      <c r="F30" s="253">
        <f>886+18</f>
        <v>904</v>
      </c>
      <c r="G30" s="253">
        <v>16</v>
      </c>
      <c r="H30" s="253">
        <v>6</v>
      </c>
      <c r="I30" s="253">
        <v>14</v>
      </c>
      <c r="J30" s="253">
        <v>3268</v>
      </c>
      <c r="K30" s="253">
        <v>6368</v>
      </c>
      <c r="L30" s="254">
        <f>180+24</f>
        <v>204</v>
      </c>
      <c r="M30" s="255">
        <v>71</v>
      </c>
      <c r="N30" s="256">
        <v>174</v>
      </c>
      <c r="O30" s="251">
        <v>145</v>
      </c>
      <c r="P30" s="253">
        <v>2144</v>
      </c>
      <c r="Q30" s="257">
        <v>3736</v>
      </c>
      <c r="R30" s="249"/>
    </row>
    <row r="31" spans="2:41" ht="15" customHeight="1">
      <c r="B31" s="31" t="s">
        <v>34</v>
      </c>
      <c r="C31" s="262">
        <v>10648</v>
      </c>
      <c r="D31" s="234">
        <f>6245+145</f>
        <v>6390</v>
      </c>
      <c r="E31" s="235">
        <f>197+108</f>
        <v>305</v>
      </c>
      <c r="F31" s="236">
        <f>519+3</f>
        <v>522</v>
      </c>
      <c r="G31" s="236">
        <v>23</v>
      </c>
      <c r="H31" s="236">
        <v>6</v>
      </c>
      <c r="I31" s="236">
        <v>15</v>
      </c>
      <c r="J31" s="236">
        <v>1824</v>
      </c>
      <c r="K31" s="236">
        <v>3537</v>
      </c>
      <c r="L31" s="258">
        <f>105+1</f>
        <v>106</v>
      </c>
      <c r="M31" s="259">
        <v>52</v>
      </c>
      <c r="N31" s="260">
        <v>113</v>
      </c>
      <c r="O31" s="234">
        <v>94</v>
      </c>
      <c r="P31" s="236">
        <v>2022</v>
      </c>
      <c r="Q31" s="237">
        <v>2029</v>
      </c>
      <c r="R31" s="249"/>
    </row>
    <row r="32" spans="2:41" s="274" customFormat="1" ht="15" customHeight="1">
      <c r="B32" s="263" t="s">
        <v>40</v>
      </c>
      <c r="C32" s="264">
        <v>72571</v>
      </c>
      <c r="D32" s="265">
        <v>46171</v>
      </c>
      <c r="E32" s="266">
        <v>2288</v>
      </c>
      <c r="F32" s="267">
        <v>3563</v>
      </c>
      <c r="G32" s="267">
        <v>113</v>
      </c>
      <c r="H32" s="267">
        <v>49</v>
      </c>
      <c r="I32" s="267">
        <v>93</v>
      </c>
      <c r="J32" s="267">
        <v>13591</v>
      </c>
      <c r="K32" s="267">
        <v>25044</v>
      </c>
      <c r="L32" s="267">
        <v>1034</v>
      </c>
      <c r="M32" s="268">
        <v>427</v>
      </c>
      <c r="N32" s="269">
        <v>775</v>
      </c>
      <c r="O32" s="270">
        <v>682</v>
      </c>
      <c r="P32" s="267">
        <v>9731</v>
      </c>
      <c r="Q32" s="271">
        <v>15181</v>
      </c>
      <c r="R32" s="268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</row>
    <row r="33" spans="2:41" ht="15" customHeight="1">
      <c r="B33" s="20" t="s">
        <v>8</v>
      </c>
      <c r="C33" s="275">
        <v>18657</v>
      </c>
      <c r="D33" s="276">
        <v>11798</v>
      </c>
      <c r="E33" s="277">
        <v>449</v>
      </c>
      <c r="F33" s="278">
        <v>897</v>
      </c>
      <c r="G33" s="278">
        <v>16</v>
      </c>
      <c r="H33" s="278">
        <v>9</v>
      </c>
      <c r="I33" s="278">
        <v>23</v>
      </c>
      <c r="J33" s="278">
        <v>3496</v>
      </c>
      <c r="K33" s="278">
        <v>6445</v>
      </c>
      <c r="L33" s="278">
        <v>319</v>
      </c>
      <c r="M33" s="279">
        <v>144</v>
      </c>
      <c r="N33" s="280">
        <v>224</v>
      </c>
      <c r="O33" s="276">
        <v>193</v>
      </c>
      <c r="P33" s="278">
        <v>2637</v>
      </c>
      <c r="Q33" s="281">
        <v>3805</v>
      </c>
      <c r="R33" s="279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</row>
    <row r="34" spans="2:41" ht="15" customHeight="1">
      <c r="B34" s="20" t="s">
        <v>11</v>
      </c>
      <c r="C34" s="275">
        <v>25090</v>
      </c>
      <c r="D34" s="276">
        <v>16414</v>
      </c>
      <c r="E34" s="277">
        <v>1011</v>
      </c>
      <c r="F34" s="278">
        <v>1256</v>
      </c>
      <c r="G34" s="278">
        <v>55</v>
      </c>
      <c r="H34" s="278">
        <v>28</v>
      </c>
      <c r="I34" s="278">
        <v>43</v>
      </c>
      <c r="J34" s="278">
        <v>4792</v>
      </c>
      <c r="K34" s="278">
        <v>8691</v>
      </c>
      <c r="L34" s="278">
        <v>390</v>
      </c>
      <c r="M34" s="279">
        <v>148</v>
      </c>
      <c r="N34" s="280">
        <v>259</v>
      </c>
      <c r="O34" s="276">
        <v>251</v>
      </c>
      <c r="P34" s="278">
        <v>2952</v>
      </c>
      <c r="Q34" s="281">
        <v>5214</v>
      </c>
      <c r="R34" s="279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</row>
    <row r="35" spans="2:41" ht="15" customHeight="1">
      <c r="B35" s="20" t="s">
        <v>12</v>
      </c>
      <c r="C35" s="275">
        <v>17912</v>
      </c>
      <c r="D35" s="276">
        <v>11471</v>
      </c>
      <c r="E35" s="277">
        <v>511</v>
      </c>
      <c r="F35" s="278">
        <v>897</v>
      </c>
      <c r="G35" s="278">
        <v>17</v>
      </c>
      <c r="H35" s="278">
        <v>5</v>
      </c>
      <c r="I35" s="278">
        <v>13</v>
      </c>
      <c r="J35" s="278">
        <v>3395</v>
      </c>
      <c r="K35" s="278">
        <v>6349</v>
      </c>
      <c r="L35" s="278">
        <v>214</v>
      </c>
      <c r="M35" s="279">
        <v>70</v>
      </c>
      <c r="N35" s="280">
        <v>179</v>
      </c>
      <c r="O35" s="276">
        <v>146</v>
      </c>
      <c r="P35" s="278">
        <v>2130</v>
      </c>
      <c r="Q35" s="281">
        <v>3986</v>
      </c>
      <c r="R35" s="279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</row>
    <row r="36" spans="2:41" ht="15" customHeight="1">
      <c r="B36" s="31" t="s">
        <v>34</v>
      </c>
      <c r="C36" s="283">
        <v>10881</v>
      </c>
      <c r="D36" s="284">
        <v>6488</v>
      </c>
      <c r="E36" s="285">
        <v>315</v>
      </c>
      <c r="F36" s="286">
        <v>509</v>
      </c>
      <c r="G36" s="286">
        <v>25</v>
      </c>
      <c r="H36" s="286">
        <v>7</v>
      </c>
      <c r="I36" s="286">
        <v>14</v>
      </c>
      <c r="J36" s="286">
        <v>1903</v>
      </c>
      <c r="K36" s="286">
        <v>3556</v>
      </c>
      <c r="L36" s="286">
        <v>108</v>
      </c>
      <c r="M36" s="287">
        <v>51</v>
      </c>
      <c r="N36" s="288">
        <v>113</v>
      </c>
      <c r="O36" s="284">
        <v>92</v>
      </c>
      <c r="P36" s="286">
        <v>2012</v>
      </c>
      <c r="Q36" s="289">
        <v>2176</v>
      </c>
      <c r="R36" s="279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</row>
    <row r="37" spans="2:41" s="274" customFormat="1" ht="15" customHeight="1">
      <c r="B37" s="290" t="s">
        <v>41</v>
      </c>
      <c r="C37" s="291">
        <v>73465</v>
      </c>
      <c r="D37" s="292">
        <v>46168</v>
      </c>
      <c r="E37" s="293">
        <v>2323</v>
      </c>
      <c r="F37" s="294">
        <v>3459</v>
      </c>
      <c r="G37" s="294">
        <v>124</v>
      </c>
      <c r="H37" s="294">
        <v>44</v>
      </c>
      <c r="I37" s="294">
        <v>94</v>
      </c>
      <c r="J37" s="294">
        <v>13785</v>
      </c>
      <c r="K37" s="294">
        <v>24916</v>
      </c>
      <c r="L37" s="294">
        <v>1014</v>
      </c>
      <c r="M37" s="295">
        <v>409</v>
      </c>
      <c r="N37" s="296">
        <v>766</v>
      </c>
      <c r="O37" s="292">
        <v>696</v>
      </c>
      <c r="P37" s="294">
        <v>9731</v>
      </c>
      <c r="Q37" s="297">
        <v>16104</v>
      </c>
      <c r="R37" s="268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</row>
    <row r="38" spans="2:41" s="274" customFormat="1" ht="15" customHeight="1">
      <c r="B38" s="290" t="s">
        <v>42</v>
      </c>
      <c r="C38" s="291">
        <v>74232</v>
      </c>
      <c r="D38" s="292">
        <f>45823</f>
        <v>45823</v>
      </c>
      <c r="E38" s="293">
        <v>2375</v>
      </c>
      <c r="F38" s="294">
        <v>3368</v>
      </c>
      <c r="G38" s="294">
        <v>130</v>
      </c>
      <c r="H38" s="294">
        <v>47</v>
      </c>
      <c r="I38" s="294">
        <v>90</v>
      </c>
      <c r="J38" s="294">
        <v>13954</v>
      </c>
      <c r="K38" s="294">
        <v>24440</v>
      </c>
      <c r="L38" s="294">
        <v>1010</v>
      </c>
      <c r="M38" s="295">
        <v>409</v>
      </c>
      <c r="N38" s="296">
        <v>777</v>
      </c>
      <c r="O38" s="292">
        <v>725</v>
      </c>
      <c r="P38" s="294">
        <v>9589</v>
      </c>
      <c r="Q38" s="297">
        <v>17220</v>
      </c>
      <c r="R38" s="298">
        <v>98</v>
      </c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</row>
    <row r="39" spans="2:41" s="274" customFormat="1" ht="15" customHeight="1">
      <c r="B39" s="290" t="s">
        <v>43</v>
      </c>
      <c r="C39" s="291">
        <v>74077</v>
      </c>
      <c r="D39" s="292">
        <v>45087</v>
      </c>
      <c r="E39" s="293">
        <v>2368</v>
      </c>
      <c r="F39" s="294">
        <v>3207</v>
      </c>
      <c r="G39" s="294">
        <v>132</v>
      </c>
      <c r="H39" s="294">
        <v>46</v>
      </c>
      <c r="I39" s="294">
        <v>83</v>
      </c>
      <c r="J39" s="294">
        <v>14034</v>
      </c>
      <c r="K39" s="294">
        <v>23778</v>
      </c>
      <c r="L39" s="294">
        <v>1017</v>
      </c>
      <c r="M39" s="295">
        <v>422</v>
      </c>
      <c r="N39" s="296">
        <v>794</v>
      </c>
      <c r="O39" s="292">
        <v>739</v>
      </c>
      <c r="P39" s="294">
        <v>9442</v>
      </c>
      <c r="Q39" s="297">
        <v>17913</v>
      </c>
      <c r="R39" s="298">
        <v>102</v>
      </c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</row>
    <row r="40" spans="2:41" s="274" customFormat="1" ht="15" customHeight="1">
      <c r="B40" s="290" t="s">
        <v>44</v>
      </c>
      <c r="C40" s="291">
        <v>73960</v>
      </c>
      <c r="D40" s="292">
        <v>44229</v>
      </c>
      <c r="E40" s="293">
        <v>2259</v>
      </c>
      <c r="F40" s="294">
        <v>3016</v>
      </c>
      <c r="G40" s="294">
        <v>134</v>
      </c>
      <c r="H40" s="294">
        <v>54</v>
      </c>
      <c r="I40" s="294">
        <v>89</v>
      </c>
      <c r="J40" s="294">
        <v>13949</v>
      </c>
      <c r="K40" s="294">
        <v>23298</v>
      </c>
      <c r="L40" s="294">
        <v>1006</v>
      </c>
      <c r="M40" s="295">
        <v>424</v>
      </c>
      <c r="N40" s="296">
        <v>824</v>
      </c>
      <c r="O40" s="292">
        <v>763</v>
      </c>
      <c r="P40" s="294">
        <v>9357</v>
      </c>
      <c r="Q40" s="297">
        <v>18672</v>
      </c>
      <c r="R40" s="298">
        <v>115</v>
      </c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</row>
    <row r="41" spans="2:41" s="274" customFormat="1" ht="15" customHeight="1">
      <c r="B41" s="290" t="s">
        <v>45</v>
      </c>
      <c r="C41" s="291">
        <v>74018</v>
      </c>
      <c r="D41" s="292">
        <v>43669</v>
      </c>
      <c r="E41" s="293">
        <v>2185</v>
      </c>
      <c r="F41" s="294">
        <v>2927</v>
      </c>
      <c r="G41" s="294">
        <v>127</v>
      </c>
      <c r="H41" s="294">
        <v>56</v>
      </c>
      <c r="I41" s="294">
        <v>83</v>
      </c>
      <c r="J41" s="294">
        <v>14083</v>
      </c>
      <c r="K41" s="294">
        <v>22818</v>
      </c>
      <c r="L41" s="294">
        <v>971</v>
      </c>
      <c r="M41" s="295">
        <v>419</v>
      </c>
      <c r="N41" s="296">
        <v>839</v>
      </c>
      <c r="O41" s="292">
        <v>774</v>
      </c>
      <c r="P41" s="294">
        <v>9176</v>
      </c>
      <c r="Q41" s="297">
        <v>19446</v>
      </c>
      <c r="R41" s="298">
        <v>114</v>
      </c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</row>
    <row r="42" spans="2:41" s="274" customFormat="1" ht="15" customHeight="1">
      <c r="B42" s="290" t="s">
        <v>46</v>
      </c>
      <c r="C42" s="291">
        <v>74129</v>
      </c>
      <c r="D42" s="292">
        <v>43261</v>
      </c>
      <c r="E42" s="293">
        <v>2110</v>
      </c>
      <c r="F42" s="294">
        <v>2802</v>
      </c>
      <c r="G42" s="294">
        <v>117</v>
      </c>
      <c r="H42" s="294">
        <v>55</v>
      </c>
      <c r="I42" s="294">
        <v>79</v>
      </c>
      <c r="J42" s="294">
        <v>14381</v>
      </c>
      <c r="K42" s="294">
        <v>22357</v>
      </c>
      <c r="L42" s="294">
        <v>938</v>
      </c>
      <c r="M42" s="295">
        <v>422</v>
      </c>
      <c r="N42" s="296">
        <v>833</v>
      </c>
      <c r="O42" s="292">
        <v>793</v>
      </c>
      <c r="P42" s="294">
        <v>9031</v>
      </c>
      <c r="Q42" s="297">
        <v>20092</v>
      </c>
      <c r="R42" s="298">
        <v>119</v>
      </c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</row>
    <row r="43" spans="2:41" s="176" customFormat="1" ht="15" customHeight="1">
      <c r="B43" s="299" t="s">
        <v>47</v>
      </c>
      <c r="C43" s="291">
        <v>74681</v>
      </c>
      <c r="D43" s="292">
        <v>43143</v>
      </c>
      <c r="E43" s="293">
        <v>2082</v>
      </c>
      <c r="F43" s="294">
        <v>2733</v>
      </c>
      <c r="G43" s="294">
        <v>114</v>
      </c>
      <c r="H43" s="294">
        <v>55</v>
      </c>
      <c r="I43" s="294">
        <v>81</v>
      </c>
      <c r="J43" s="294">
        <v>14648</v>
      </c>
      <c r="K43" s="294">
        <v>22079</v>
      </c>
      <c r="L43" s="294">
        <v>920</v>
      </c>
      <c r="M43" s="295">
        <v>431</v>
      </c>
      <c r="N43" s="296">
        <v>853</v>
      </c>
      <c r="O43" s="292">
        <v>811</v>
      </c>
      <c r="P43" s="294">
        <v>8965</v>
      </c>
      <c r="Q43" s="297">
        <v>20799</v>
      </c>
      <c r="R43" s="295">
        <v>110</v>
      </c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</row>
    <row r="44" spans="2:41" s="176" customFormat="1" ht="15" customHeight="1">
      <c r="B44" s="299" t="s">
        <v>48</v>
      </c>
      <c r="C44" s="291">
        <v>75349</v>
      </c>
      <c r="D44" s="292">
        <v>43011</v>
      </c>
      <c r="E44" s="293">
        <v>2063</v>
      </c>
      <c r="F44" s="294">
        <v>2668</v>
      </c>
      <c r="G44" s="294">
        <v>115</v>
      </c>
      <c r="H44" s="294">
        <v>56</v>
      </c>
      <c r="I44" s="294">
        <v>79</v>
      </c>
      <c r="J44" s="294">
        <v>14906</v>
      </c>
      <c r="K44" s="294">
        <v>21799</v>
      </c>
      <c r="L44" s="294">
        <v>896</v>
      </c>
      <c r="M44" s="295">
        <v>429</v>
      </c>
      <c r="N44" s="296">
        <v>862</v>
      </c>
      <c r="O44" s="292">
        <v>815</v>
      </c>
      <c r="P44" s="294">
        <v>9161</v>
      </c>
      <c r="Q44" s="297">
        <v>21393</v>
      </c>
      <c r="R44" s="295">
        <v>107</v>
      </c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</row>
    <row r="45" spans="2:41" s="176" customFormat="1" ht="15" customHeight="1">
      <c r="B45" s="299" t="s">
        <v>49</v>
      </c>
      <c r="C45" s="291">
        <v>75933</v>
      </c>
      <c r="D45" s="292">
        <v>42766</v>
      </c>
      <c r="E45" s="293">
        <v>2015</v>
      </c>
      <c r="F45" s="294">
        <v>2656</v>
      </c>
      <c r="G45" s="294">
        <v>115</v>
      </c>
      <c r="H45" s="294">
        <v>55</v>
      </c>
      <c r="I45" s="294">
        <v>80</v>
      </c>
      <c r="J45" s="294">
        <v>15167</v>
      </c>
      <c r="K45" s="294">
        <v>21331</v>
      </c>
      <c r="L45" s="294">
        <v>905</v>
      </c>
      <c r="M45" s="295">
        <v>442</v>
      </c>
      <c r="N45" s="296">
        <v>903</v>
      </c>
      <c r="O45" s="292">
        <v>828</v>
      </c>
      <c r="P45" s="294">
        <v>8799</v>
      </c>
      <c r="Q45" s="297">
        <v>22523</v>
      </c>
      <c r="R45" s="295">
        <v>114</v>
      </c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</row>
    <row r="46" spans="2:41" s="176" customFormat="1" ht="15" customHeight="1">
      <c r="B46" s="299" t="s">
        <v>50</v>
      </c>
      <c r="C46" s="291">
        <v>76821</v>
      </c>
      <c r="D46" s="292">
        <v>42587</v>
      </c>
      <c r="E46" s="293">
        <v>2072</v>
      </c>
      <c r="F46" s="294">
        <v>2600</v>
      </c>
      <c r="G46" s="294">
        <v>131</v>
      </c>
      <c r="H46" s="294">
        <v>55</v>
      </c>
      <c r="I46" s="294">
        <v>78</v>
      </c>
      <c r="J46" s="294">
        <v>15395</v>
      </c>
      <c r="K46" s="294">
        <v>20917</v>
      </c>
      <c r="L46" s="294">
        <v>889</v>
      </c>
      <c r="M46" s="295">
        <v>450</v>
      </c>
      <c r="N46" s="296">
        <v>941</v>
      </c>
      <c r="O46" s="292">
        <v>837</v>
      </c>
      <c r="P46" s="294">
        <v>8762</v>
      </c>
      <c r="Q46" s="297">
        <v>23585</v>
      </c>
      <c r="R46" s="295">
        <v>109</v>
      </c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</row>
    <row r="47" spans="2:41" s="176" customFormat="1" ht="15" customHeight="1">
      <c r="B47" s="299" t="s">
        <v>51</v>
      </c>
      <c r="C47" s="291">
        <v>76905</v>
      </c>
      <c r="D47" s="292">
        <f>SUM(E47:M47)</f>
        <v>42617</v>
      </c>
      <c r="E47" s="293">
        <v>2027</v>
      </c>
      <c r="F47" s="294">
        <v>2566</v>
      </c>
      <c r="G47" s="294">
        <v>134</v>
      </c>
      <c r="H47" s="294">
        <v>61</v>
      </c>
      <c r="I47" s="294">
        <v>75</v>
      </c>
      <c r="J47" s="294">
        <v>15749</v>
      </c>
      <c r="K47" s="294">
        <v>20536</v>
      </c>
      <c r="L47" s="294">
        <v>1009</v>
      </c>
      <c r="M47" s="295">
        <v>460</v>
      </c>
      <c r="N47" s="296">
        <v>946</v>
      </c>
      <c r="O47" s="292">
        <v>861</v>
      </c>
      <c r="P47" s="294">
        <v>8579</v>
      </c>
      <c r="Q47" s="297">
        <v>23902</v>
      </c>
      <c r="R47" s="295">
        <v>112</v>
      </c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</row>
    <row r="48" spans="2:41" ht="14.25" customHeight="1">
      <c r="C48" s="302"/>
      <c r="D48" s="302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R48" s="186" t="s">
        <v>211</v>
      </c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</row>
    <row r="49" spans="3:41" ht="14.25" customHeight="1">
      <c r="C49" s="186"/>
      <c r="D49" s="186"/>
      <c r="E49" s="302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R49" s="186" t="s">
        <v>54</v>
      </c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</row>
    <row r="50" spans="3:41"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3:41"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3:41"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3:41"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</row>
    <row r="54" spans="3:41"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3:41"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</row>
    <row r="56" spans="3:41"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3:41"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</row>
    <row r="58" spans="3:41"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</row>
    <row r="59" spans="3:41"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</row>
    <row r="60" spans="3:41"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</row>
    <row r="61" spans="3:41"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</row>
    <row r="62" spans="3:41"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</row>
    <row r="63" spans="3:41"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</row>
    <row r="64" spans="3:41"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</row>
    <row r="65" spans="3:17"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</row>
    <row r="66" spans="3:17"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</row>
    <row r="67" spans="3:17"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</row>
    <row r="68" spans="3:17"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</row>
    <row r="69" spans="3:17"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</row>
    <row r="70" spans="3:17"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</row>
    <row r="71" spans="3:17"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</row>
    <row r="72" spans="3:17"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</row>
    <row r="73" spans="3:17"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</row>
    <row r="74" spans="3:17"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</row>
    <row r="75" spans="3:17"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</row>
    <row r="76" spans="3:17"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</row>
    <row r="77" spans="3:17"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</row>
  </sheetData>
  <mergeCells count="23">
    <mergeCell ref="B3:B6"/>
    <mergeCell ref="C3:C6"/>
    <mergeCell ref="D3:M3"/>
    <mergeCell ref="N3:N6"/>
    <mergeCell ref="O3:R3"/>
    <mergeCell ref="D4:D6"/>
    <mergeCell ref="E4:G4"/>
    <mergeCell ref="H4:I4"/>
    <mergeCell ref="J4:K4"/>
    <mergeCell ref="L4:M4"/>
    <mergeCell ref="Q4:Q6"/>
    <mergeCell ref="R4:R6"/>
    <mergeCell ref="E5:E6"/>
    <mergeCell ref="F5:F6"/>
    <mergeCell ref="G5:G6"/>
    <mergeCell ref="H5:H6"/>
    <mergeCell ref="O4:O6"/>
    <mergeCell ref="P4:P6"/>
    <mergeCell ref="I5:I6"/>
    <mergeCell ref="J5:J6"/>
    <mergeCell ref="K5:K6"/>
    <mergeCell ref="L5:L6"/>
    <mergeCell ref="M5:M6"/>
  </mergeCells>
  <phoneticPr fontId="1"/>
  <pageMargins left="0.59055118110236227" right="0.59055118110236227" top="0.78740157480314965" bottom="0.39370078740157483" header="0.39370078740157483" footer="0.39370078740157483"/>
  <pageSetup paperSize="9" scale="95" orientation="portrait" r:id="rId1"/>
  <headerFooter alignWithMargins="0">
    <oddHeader>&amp;R15.交通・通信</oddHeader>
    <oddFooter>&amp;C-106-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showGridLines="0" zoomScaleNormal="100" workbookViewId="0">
      <selection activeCell="R29" sqref="R29"/>
    </sheetView>
  </sheetViews>
  <sheetFormatPr defaultRowHeight="11.25"/>
  <cols>
    <col min="1" max="1" width="3.625" style="150" customWidth="1"/>
    <col min="2" max="2" width="2.125" style="150" customWidth="1"/>
    <col min="3" max="3" width="5.375" style="199" customWidth="1"/>
    <col min="4" max="4" width="6.875" style="150" customWidth="1"/>
    <col min="5" max="5" width="2.5" style="200" customWidth="1"/>
    <col min="6" max="6" width="6.875" style="150" customWidth="1"/>
    <col min="7" max="16" width="6.375" style="150" customWidth="1"/>
    <col min="17" max="256" width="9" style="150"/>
    <col min="257" max="257" width="3.625" style="150" customWidth="1"/>
    <col min="258" max="258" width="2.125" style="150" customWidth="1"/>
    <col min="259" max="259" width="5.375" style="150" customWidth="1"/>
    <col min="260" max="260" width="6.875" style="150" customWidth="1"/>
    <col min="261" max="261" width="2.5" style="150" customWidth="1"/>
    <col min="262" max="262" width="6.875" style="150" customWidth="1"/>
    <col min="263" max="272" width="6.375" style="150" customWidth="1"/>
    <col min="273" max="512" width="9" style="150"/>
    <col min="513" max="513" width="3.625" style="150" customWidth="1"/>
    <col min="514" max="514" width="2.125" style="150" customWidth="1"/>
    <col min="515" max="515" width="5.375" style="150" customWidth="1"/>
    <col min="516" max="516" width="6.875" style="150" customWidth="1"/>
    <col min="517" max="517" width="2.5" style="150" customWidth="1"/>
    <col min="518" max="518" width="6.875" style="150" customWidth="1"/>
    <col min="519" max="528" width="6.375" style="150" customWidth="1"/>
    <col min="529" max="768" width="9" style="150"/>
    <col min="769" max="769" width="3.625" style="150" customWidth="1"/>
    <col min="770" max="770" width="2.125" style="150" customWidth="1"/>
    <col min="771" max="771" width="5.375" style="150" customWidth="1"/>
    <col min="772" max="772" width="6.875" style="150" customWidth="1"/>
    <col min="773" max="773" width="2.5" style="150" customWidth="1"/>
    <col min="774" max="774" width="6.875" style="150" customWidth="1"/>
    <col min="775" max="784" width="6.375" style="150" customWidth="1"/>
    <col min="785" max="1024" width="9" style="150"/>
    <col min="1025" max="1025" width="3.625" style="150" customWidth="1"/>
    <col min="1026" max="1026" width="2.125" style="150" customWidth="1"/>
    <col min="1027" max="1027" width="5.375" style="150" customWidth="1"/>
    <col min="1028" max="1028" width="6.875" style="150" customWidth="1"/>
    <col min="1029" max="1029" width="2.5" style="150" customWidth="1"/>
    <col min="1030" max="1030" width="6.875" style="150" customWidth="1"/>
    <col min="1031" max="1040" width="6.375" style="150" customWidth="1"/>
    <col min="1041" max="1280" width="9" style="150"/>
    <col min="1281" max="1281" width="3.625" style="150" customWidth="1"/>
    <col min="1282" max="1282" width="2.125" style="150" customWidth="1"/>
    <col min="1283" max="1283" width="5.375" style="150" customWidth="1"/>
    <col min="1284" max="1284" width="6.875" style="150" customWidth="1"/>
    <col min="1285" max="1285" width="2.5" style="150" customWidth="1"/>
    <col min="1286" max="1286" width="6.875" style="150" customWidth="1"/>
    <col min="1287" max="1296" width="6.375" style="150" customWidth="1"/>
    <col min="1297" max="1536" width="9" style="150"/>
    <col min="1537" max="1537" width="3.625" style="150" customWidth="1"/>
    <col min="1538" max="1538" width="2.125" style="150" customWidth="1"/>
    <col min="1539" max="1539" width="5.375" style="150" customWidth="1"/>
    <col min="1540" max="1540" width="6.875" style="150" customWidth="1"/>
    <col min="1541" max="1541" width="2.5" style="150" customWidth="1"/>
    <col min="1542" max="1542" width="6.875" style="150" customWidth="1"/>
    <col min="1543" max="1552" width="6.375" style="150" customWidth="1"/>
    <col min="1553" max="1792" width="9" style="150"/>
    <col min="1793" max="1793" width="3.625" style="150" customWidth="1"/>
    <col min="1794" max="1794" width="2.125" style="150" customWidth="1"/>
    <col min="1795" max="1795" width="5.375" style="150" customWidth="1"/>
    <col min="1796" max="1796" width="6.875" style="150" customWidth="1"/>
    <col min="1797" max="1797" width="2.5" style="150" customWidth="1"/>
    <col min="1798" max="1798" width="6.875" style="150" customWidth="1"/>
    <col min="1799" max="1808" width="6.375" style="150" customWidth="1"/>
    <col min="1809" max="2048" width="9" style="150"/>
    <col min="2049" max="2049" width="3.625" style="150" customWidth="1"/>
    <col min="2050" max="2050" width="2.125" style="150" customWidth="1"/>
    <col min="2051" max="2051" width="5.375" style="150" customWidth="1"/>
    <col min="2052" max="2052" width="6.875" style="150" customWidth="1"/>
    <col min="2053" max="2053" width="2.5" style="150" customWidth="1"/>
    <col min="2054" max="2054" width="6.875" style="150" customWidth="1"/>
    <col min="2055" max="2064" width="6.375" style="150" customWidth="1"/>
    <col min="2065" max="2304" width="9" style="150"/>
    <col min="2305" max="2305" width="3.625" style="150" customWidth="1"/>
    <col min="2306" max="2306" width="2.125" style="150" customWidth="1"/>
    <col min="2307" max="2307" width="5.375" style="150" customWidth="1"/>
    <col min="2308" max="2308" width="6.875" style="150" customWidth="1"/>
    <col min="2309" max="2309" width="2.5" style="150" customWidth="1"/>
    <col min="2310" max="2310" width="6.875" style="150" customWidth="1"/>
    <col min="2311" max="2320" width="6.375" style="150" customWidth="1"/>
    <col min="2321" max="2560" width="9" style="150"/>
    <col min="2561" max="2561" width="3.625" style="150" customWidth="1"/>
    <col min="2562" max="2562" width="2.125" style="150" customWidth="1"/>
    <col min="2563" max="2563" width="5.375" style="150" customWidth="1"/>
    <col min="2564" max="2564" width="6.875" style="150" customWidth="1"/>
    <col min="2565" max="2565" width="2.5" style="150" customWidth="1"/>
    <col min="2566" max="2566" width="6.875" style="150" customWidth="1"/>
    <col min="2567" max="2576" width="6.375" style="150" customWidth="1"/>
    <col min="2577" max="2816" width="9" style="150"/>
    <col min="2817" max="2817" width="3.625" style="150" customWidth="1"/>
    <col min="2818" max="2818" width="2.125" style="150" customWidth="1"/>
    <col min="2819" max="2819" width="5.375" style="150" customWidth="1"/>
    <col min="2820" max="2820" width="6.875" style="150" customWidth="1"/>
    <col min="2821" max="2821" width="2.5" style="150" customWidth="1"/>
    <col min="2822" max="2822" width="6.875" style="150" customWidth="1"/>
    <col min="2823" max="2832" width="6.375" style="150" customWidth="1"/>
    <col min="2833" max="3072" width="9" style="150"/>
    <col min="3073" max="3073" width="3.625" style="150" customWidth="1"/>
    <col min="3074" max="3074" width="2.125" style="150" customWidth="1"/>
    <col min="3075" max="3075" width="5.375" style="150" customWidth="1"/>
    <col min="3076" max="3076" width="6.875" style="150" customWidth="1"/>
    <col min="3077" max="3077" width="2.5" style="150" customWidth="1"/>
    <col min="3078" max="3078" width="6.875" style="150" customWidth="1"/>
    <col min="3079" max="3088" width="6.375" style="150" customWidth="1"/>
    <col min="3089" max="3328" width="9" style="150"/>
    <col min="3329" max="3329" width="3.625" style="150" customWidth="1"/>
    <col min="3330" max="3330" width="2.125" style="150" customWidth="1"/>
    <col min="3331" max="3331" width="5.375" style="150" customWidth="1"/>
    <col min="3332" max="3332" width="6.875" style="150" customWidth="1"/>
    <col min="3333" max="3333" width="2.5" style="150" customWidth="1"/>
    <col min="3334" max="3334" width="6.875" style="150" customWidth="1"/>
    <col min="3335" max="3344" width="6.375" style="150" customWidth="1"/>
    <col min="3345" max="3584" width="9" style="150"/>
    <col min="3585" max="3585" width="3.625" style="150" customWidth="1"/>
    <col min="3586" max="3586" width="2.125" style="150" customWidth="1"/>
    <col min="3587" max="3587" width="5.375" style="150" customWidth="1"/>
    <col min="3588" max="3588" width="6.875" style="150" customWidth="1"/>
    <col min="3589" max="3589" width="2.5" style="150" customWidth="1"/>
    <col min="3590" max="3590" width="6.875" style="150" customWidth="1"/>
    <col min="3591" max="3600" width="6.375" style="150" customWidth="1"/>
    <col min="3601" max="3840" width="9" style="150"/>
    <col min="3841" max="3841" width="3.625" style="150" customWidth="1"/>
    <col min="3842" max="3842" width="2.125" style="150" customWidth="1"/>
    <col min="3843" max="3843" width="5.375" style="150" customWidth="1"/>
    <col min="3844" max="3844" width="6.875" style="150" customWidth="1"/>
    <col min="3845" max="3845" width="2.5" style="150" customWidth="1"/>
    <col min="3846" max="3846" width="6.875" style="150" customWidth="1"/>
    <col min="3847" max="3856" width="6.375" style="150" customWidth="1"/>
    <col min="3857" max="4096" width="9" style="150"/>
    <col min="4097" max="4097" width="3.625" style="150" customWidth="1"/>
    <col min="4098" max="4098" width="2.125" style="150" customWidth="1"/>
    <col min="4099" max="4099" width="5.375" style="150" customWidth="1"/>
    <col min="4100" max="4100" width="6.875" style="150" customWidth="1"/>
    <col min="4101" max="4101" width="2.5" style="150" customWidth="1"/>
    <col min="4102" max="4102" width="6.875" style="150" customWidth="1"/>
    <col min="4103" max="4112" width="6.375" style="150" customWidth="1"/>
    <col min="4113" max="4352" width="9" style="150"/>
    <col min="4353" max="4353" width="3.625" style="150" customWidth="1"/>
    <col min="4354" max="4354" width="2.125" style="150" customWidth="1"/>
    <col min="4355" max="4355" width="5.375" style="150" customWidth="1"/>
    <col min="4356" max="4356" width="6.875" style="150" customWidth="1"/>
    <col min="4357" max="4357" width="2.5" style="150" customWidth="1"/>
    <col min="4358" max="4358" width="6.875" style="150" customWidth="1"/>
    <col min="4359" max="4368" width="6.375" style="150" customWidth="1"/>
    <col min="4369" max="4608" width="9" style="150"/>
    <col min="4609" max="4609" width="3.625" style="150" customWidth="1"/>
    <col min="4610" max="4610" width="2.125" style="150" customWidth="1"/>
    <col min="4611" max="4611" width="5.375" style="150" customWidth="1"/>
    <col min="4612" max="4612" width="6.875" style="150" customWidth="1"/>
    <col min="4613" max="4613" width="2.5" style="150" customWidth="1"/>
    <col min="4614" max="4614" width="6.875" style="150" customWidth="1"/>
    <col min="4615" max="4624" width="6.375" style="150" customWidth="1"/>
    <col min="4625" max="4864" width="9" style="150"/>
    <col min="4865" max="4865" width="3.625" style="150" customWidth="1"/>
    <col min="4866" max="4866" width="2.125" style="150" customWidth="1"/>
    <col min="4867" max="4867" width="5.375" style="150" customWidth="1"/>
    <col min="4868" max="4868" width="6.875" style="150" customWidth="1"/>
    <col min="4869" max="4869" width="2.5" style="150" customWidth="1"/>
    <col min="4870" max="4870" width="6.875" style="150" customWidth="1"/>
    <col min="4871" max="4880" width="6.375" style="150" customWidth="1"/>
    <col min="4881" max="5120" width="9" style="150"/>
    <col min="5121" max="5121" width="3.625" style="150" customWidth="1"/>
    <col min="5122" max="5122" width="2.125" style="150" customWidth="1"/>
    <col min="5123" max="5123" width="5.375" style="150" customWidth="1"/>
    <col min="5124" max="5124" width="6.875" style="150" customWidth="1"/>
    <col min="5125" max="5125" width="2.5" style="150" customWidth="1"/>
    <col min="5126" max="5126" width="6.875" style="150" customWidth="1"/>
    <col min="5127" max="5136" width="6.375" style="150" customWidth="1"/>
    <col min="5137" max="5376" width="9" style="150"/>
    <col min="5377" max="5377" width="3.625" style="150" customWidth="1"/>
    <col min="5378" max="5378" width="2.125" style="150" customWidth="1"/>
    <col min="5379" max="5379" width="5.375" style="150" customWidth="1"/>
    <col min="5380" max="5380" width="6.875" style="150" customWidth="1"/>
    <col min="5381" max="5381" width="2.5" style="150" customWidth="1"/>
    <col min="5382" max="5382" width="6.875" style="150" customWidth="1"/>
    <col min="5383" max="5392" width="6.375" style="150" customWidth="1"/>
    <col min="5393" max="5632" width="9" style="150"/>
    <col min="5633" max="5633" width="3.625" style="150" customWidth="1"/>
    <col min="5634" max="5634" width="2.125" style="150" customWidth="1"/>
    <col min="5635" max="5635" width="5.375" style="150" customWidth="1"/>
    <col min="5636" max="5636" width="6.875" style="150" customWidth="1"/>
    <col min="5637" max="5637" width="2.5" style="150" customWidth="1"/>
    <col min="5638" max="5638" width="6.875" style="150" customWidth="1"/>
    <col min="5639" max="5648" width="6.375" style="150" customWidth="1"/>
    <col min="5649" max="5888" width="9" style="150"/>
    <col min="5889" max="5889" width="3.625" style="150" customWidth="1"/>
    <col min="5890" max="5890" width="2.125" style="150" customWidth="1"/>
    <col min="5891" max="5891" width="5.375" style="150" customWidth="1"/>
    <col min="5892" max="5892" width="6.875" style="150" customWidth="1"/>
    <col min="5893" max="5893" width="2.5" style="150" customWidth="1"/>
    <col min="5894" max="5894" width="6.875" style="150" customWidth="1"/>
    <col min="5895" max="5904" width="6.375" style="150" customWidth="1"/>
    <col min="5905" max="6144" width="9" style="150"/>
    <col min="6145" max="6145" width="3.625" style="150" customWidth="1"/>
    <col min="6146" max="6146" width="2.125" style="150" customWidth="1"/>
    <col min="6147" max="6147" width="5.375" style="150" customWidth="1"/>
    <col min="6148" max="6148" width="6.875" style="150" customWidth="1"/>
    <col min="6149" max="6149" width="2.5" style="150" customWidth="1"/>
    <col min="6150" max="6150" width="6.875" style="150" customWidth="1"/>
    <col min="6151" max="6160" width="6.375" style="150" customWidth="1"/>
    <col min="6161" max="6400" width="9" style="150"/>
    <col min="6401" max="6401" width="3.625" style="150" customWidth="1"/>
    <col min="6402" max="6402" width="2.125" style="150" customWidth="1"/>
    <col min="6403" max="6403" width="5.375" style="150" customWidth="1"/>
    <col min="6404" max="6404" width="6.875" style="150" customWidth="1"/>
    <col min="6405" max="6405" width="2.5" style="150" customWidth="1"/>
    <col min="6406" max="6406" width="6.875" style="150" customWidth="1"/>
    <col min="6407" max="6416" width="6.375" style="150" customWidth="1"/>
    <col min="6417" max="6656" width="9" style="150"/>
    <col min="6657" max="6657" width="3.625" style="150" customWidth="1"/>
    <col min="6658" max="6658" width="2.125" style="150" customWidth="1"/>
    <col min="6659" max="6659" width="5.375" style="150" customWidth="1"/>
    <col min="6660" max="6660" width="6.875" style="150" customWidth="1"/>
    <col min="6661" max="6661" width="2.5" style="150" customWidth="1"/>
    <col min="6662" max="6662" width="6.875" style="150" customWidth="1"/>
    <col min="6663" max="6672" width="6.375" style="150" customWidth="1"/>
    <col min="6673" max="6912" width="9" style="150"/>
    <col min="6913" max="6913" width="3.625" style="150" customWidth="1"/>
    <col min="6914" max="6914" width="2.125" style="150" customWidth="1"/>
    <col min="6915" max="6915" width="5.375" style="150" customWidth="1"/>
    <col min="6916" max="6916" width="6.875" style="150" customWidth="1"/>
    <col min="6917" max="6917" width="2.5" style="150" customWidth="1"/>
    <col min="6918" max="6918" width="6.875" style="150" customWidth="1"/>
    <col min="6919" max="6928" width="6.375" style="150" customWidth="1"/>
    <col min="6929" max="7168" width="9" style="150"/>
    <col min="7169" max="7169" width="3.625" style="150" customWidth="1"/>
    <col min="7170" max="7170" width="2.125" style="150" customWidth="1"/>
    <col min="7171" max="7171" width="5.375" style="150" customWidth="1"/>
    <col min="7172" max="7172" width="6.875" style="150" customWidth="1"/>
    <col min="7173" max="7173" width="2.5" style="150" customWidth="1"/>
    <col min="7174" max="7174" width="6.875" style="150" customWidth="1"/>
    <col min="7175" max="7184" width="6.375" style="150" customWidth="1"/>
    <col min="7185" max="7424" width="9" style="150"/>
    <col min="7425" max="7425" width="3.625" style="150" customWidth="1"/>
    <col min="7426" max="7426" width="2.125" style="150" customWidth="1"/>
    <col min="7427" max="7427" width="5.375" style="150" customWidth="1"/>
    <col min="7428" max="7428" width="6.875" style="150" customWidth="1"/>
    <col min="7429" max="7429" width="2.5" style="150" customWidth="1"/>
    <col min="7430" max="7430" width="6.875" style="150" customWidth="1"/>
    <col min="7431" max="7440" width="6.375" style="150" customWidth="1"/>
    <col min="7441" max="7680" width="9" style="150"/>
    <col min="7681" max="7681" width="3.625" style="150" customWidth="1"/>
    <col min="7682" max="7682" width="2.125" style="150" customWidth="1"/>
    <col min="7683" max="7683" width="5.375" style="150" customWidth="1"/>
    <col min="7684" max="7684" width="6.875" style="150" customWidth="1"/>
    <col min="7685" max="7685" width="2.5" style="150" customWidth="1"/>
    <col min="7686" max="7686" width="6.875" style="150" customWidth="1"/>
    <col min="7687" max="7696" width="6.375" style="150" customWidth="1"/>
    <col min="7697" max="7936" width="9" style="150"/>
    <col min="7937" max="7937" width="3.625" style="150" customWidth="1"/>
    <col min="7938" max="7938" width="2.125" style="150" customWidth="1"/>
    <col min="7939" max="7939" width="5.375" style="150" customWidth="1"/>
    <col min="7940" max="7940" width="6.875" style="150" customWidth="1"/>
    <col min="7941" max="7941" width="2.5" style="150" customWidth="1"/>
    <col min="7942" max="7942" width="6.875" style="150" customWidth="1"/>
    <col min="7943" max="7952" width="6.375" style="150" customWidth="1"/>
    <col min="7953" max="8192" width="9" style="150"/>
    <col min="8193" max="8193" width="3.625" style="150" customWidth="1"/>
    <col min="8194" max="8194" width="2.125" style="150" customWidth="1"/>
    <col min="8195" max="8195" width="5.375" style="150" customWidth="1"/>
    <col min="8196" max="8196" width="6.875" style="150" customWidth="1"/>
    <col min="8197" max="8197" width="2.5" style="150" customWidth="1"/>
    <col min="8198" max="8198" width="6.875" style="150" customWidth="1"/>
    <col min="8199" max="8208" width="6.375" style="150" customWidth="1"/>
    <col min="8209" max="8448" width="9" style="150"/>
    <col min="8449" max="8449" width="3.625" style="150" customWidth="1"/>
    <col min="8450" max="8450" width="2.125" style="150" customWidth="1"/>
    <col min="8451" max="8451" width="5.375" style="150" customWidth="1"/>
    <col min="8452" max="8452" width="6.875" style="150" customWidth="1"/>
    <col min="8453" max="8453" width="2.5" style="150" customWidth="1"/>
    <col min="8454" max="8454" width="6.875" style="150" customWidth="1"/>
    <col min="8455" max="8464" width="6.375" style="150" customWidth="1"/>
    <col min="8465" max="8704" width="9" style="150"/>
    <col min="8705" max="8705" width="3.625" style="150" customWidth="1"/>
    <col min="8706" max="8706" width="2.125" style="150" customWidth="1"/>
    <col min="8707" max="8707" width="5.375" style="150" customWidth="1"/>
    <col min="8708" max="8708" width="6.875" style="150" customWidth="1"/>
    <col min="8709" max="8709" width="2.5" style="150" customWidth="1"/>
    <col min="8710" max="8710" width="6.875" style="150" customWidth="1"/>
    <col min="8711" max="8720" width="6.375" style="150" customWidth="1"/>
    <col min="8721" max="8960" width="9" style="150"/>
    <col min="8961" max="8961" width="3.625" style="150" customWidth="1"/>
    <col min="8962" max="8962" width="2.125" style="150" customWidth="1"/>
    <col min="8963" max="8963" width="5.375" style="150" customWidth="1"/>
    <col min="8964" max="8964" width="6.875" style="150" customWidth="1"/>
    <col min="8965" max="8965" width="2.5" style="150" customWidth="1"/>
    <col min="8966" max="8966" width="6.875" style="150" customWidth="1"/>
    <col min="8967" max="8976" width="6.375" style="150" customWidth="1"/>
    <col min="8977" max="9216" width="9" style="150"/>
    <col min="9217" max="9217" width="3.625" style="150" customWidth="1"/>
    <col min="9218" max="9218" width="2.125" style="150" customWidth="1"/>
    <col min="9219" max="9219" width="5.375" style="150" customWidth="1"/>
    <col min="9220" max="9220" width="6.875" style="150" customWidth="1"/>
    <col min="9221" max="9221" width="2.5" style="150" customWidth="1"/>
    <col min="9222" max="9222" width="6.875" style="150" customWidth="1"/>
    <col min="9223" max="9232" width="6.375" style="150" customWidth="1"/>
    <col min="9233" max="9472" width="9" style="150"/>
    <col min="9473" max="9473" width="3.625" style="150" customWidth="1"/>
    <col min="9474" max="9474" width="2.125" style="150" customWidth="1"/>
    <col min="9475" max="9475" width="5.375" style="150" customWidth="1"/>
    <col min="9476" max="9476" width="6.875" style="150" customWidth="1"/>
    <col min="9477" max="9477" width="2.5" style="150" customWidth="1"/>
    <col min="9478" max="9478" width="6.875" style="150" customWidth="1"/>
    <col min="9479" max="9488" width="6.375" style="150" customWidth="1"/>
    <col min="9489" max="9728" width="9" style="150"/>
    <col min="9729" max="9729" width="3.625" style="150" customWidth="1"/>
    <col min="9730" max="9730" width="2.125" style="150" customWidth="1"/>
    <col min="9731" max="9731" width="5.375" style="150" customWidth="1"/>
    <col min="9732" max="9732" width="6.875" style="150" customWidth="1"/>
    <col min="9733" max="9733" width="2.5" style="150" customWidth="1"/>
    <col min="9734" max="9734" width="6.875" style="150" customWidth="1"/>
    <col min="9735" max="9744" width="6.375" style="150" customWidth="1"/>
    <col min="9745" max="9984" width="9" style="150"/>
    <col min="9985" max="9985" width="3.625" style="150" customWidth="1"/>
    <col min="9986" max="9986" width="2.125" style="150" customWidth="1"/>
    <col min="9987" max="9987" width="5.375" style="150" customWidth="1"/>
    <col min="9988" max="9988" width="6.875" style="150" customWidth="1"/>
    <col min="9989" max="9989" width="2.5" style="150" customWidth="1"/>
    <col min="9990" max="9990" width="6.875" style="150" customWidth="1"/>
    <col min="9991" max="10000" width="6.375" style="150" customWidth="1"/>
    <col min="10001" max="10240" width="9" style="150"/>
    <col min="10241" max="10241" width="3.625" style="150" customWidth="1"/>
    <col min="10242" max="10242" width="2.125" style="150" customWidth="1"/>
    <col min="10243" max="10243" width="5.375" style="150" customWidth="1"/>
    <col min="10244" max="10244" width="6.875" style="150" customWidth="1"/>
    <col min="10245" max="10245" width="2.5" style="150" customWidth="1"/>
    <col min="10246" max="10246" width="6.875" style="150" customWidth="1"/>
    <col min="10247" max="10256" width="6.375" style="150" customWidth="1"/>
    <col min="10257" max="10496" width="9" style="150"/>
    <col min="10497" max="10497" width="3.625" style="150" customWidth="1"/>
    <col min="10498" max="10498" width="2.125" style="150" customWidth="1"/>
    <col min="10499" max="10499" width="5.375" style="150" customWidth="1"/>
    <col min="10500" max="10500" width="6.875" style="150" customWidth="1"/>
    <col min="10501" max="10501" width="2.5" style="150" customWidth="1"/>
    <col min="10502" max="10502" width="6.875" style="150" customWidth="1"/>
    <col min="10503" max="10512" width="6.375" style="150" customWidth="1"/>
    <col min="10513" max="10752" width="9" style="150"/>
    <col min="10753" max="10753" width="3.625" style="150" customWidth="1"/>
    <col min="10754" max="10754" width="2.125" style="150" customWidth="1"/>
    <col min="10755" max="10755" width="5.375" style="150" customWidth="1"/>
    <col min="10756" max="10756" width="6.875" style="150" customWidth="1"/>
    <col min="10757" max="10757" width="2.5" style="150" customWidth="1"/>
    <col min="10758" max="10758" width="6.875" style="150" customWidth="1"/>
    <col min="10759" max="10768" width="6.375" style="150" customWidth="1"/>
    <col min="10769" max="11008" width="9" style="150"/>
    <col min="11009" max="11009" width="3.625" style="150" customWidth="1"/>
    <col min="11010" max="11010" width="2.125" style="150" customWidth="1"/>
    <col min="11011" max="11011" width="5.375" style="150" customWidth="1"/>
    <col min="11012" max="11012" width="6.875" style="150" customWidth="1"/>
    <col min="11013" max="11013" width="2.5" style="150" customWidth="1"/>
    <col min="11014" max="11014" width="6.875" style="150" customWidth="1"/>
    <col min="11015" max="11024" width="6.375" style="150" customWidth="1"/>
    <col min="11025" max="11264" width="9" style="150"/>
    <col min="11265" max="11265" width="3.625" style="150" customWidth="1"/>
    <col min="11266" max="11266" width="2.125" style="150" customWidth="1"/>
    <col min="11267" max="11267" width="5.375" style="150" customWidth="1"/>
    <col min="11268" max="11268" width="6.875" style="150" customWidth="1"/>
    <col min="11269" max="11269" width="2.5" style="150" customWidth="1"/>
    <col min="11270" max="11270" width="6.875" style="150" customWidth="1"/>
    <col min="11271" max="11280" width="6.375" style="150" customWidth="1"/>
    <col min="11281" max="11520" width="9" style="150"/>
    <col min="11521" max="11521" width="3.625" style="150" customWidth="1"/>
    <col min="11522" max="11522" width="2.125" style="150" customWidth="1"/>
    <col min="11523" max="11523" width="5.375" style="150" customWidth="1"/>
    <col min="11524" max="11524" width="6.875" style="150" customWidth="1"/>
    <col min="11525" max="11525" width="2.5" style="150" customWidth="1"/>
    <col min="11526" max="11526" width="6.875" style="150" customWidth="1"/>
    <col min="11527" max="11536" width="6.375" style="150" customWidth="1"/>
    <col min="11537" max="11776" width="9" style="150"/>
    <col min="11777" max="11777" width="3.625" style="150" customWidth="1"/>
    <col min="11778" max="11778" width="2.125" style="150" customWidth="1"/>
    <col min="11779" max="11779" width="5.375" style="150" customWidth="1"/>
    <col min="11780" max="11780" width="6.875" style="150" customWidth="1"/>
    <col min="11781" max="11781" width="2.5" style="150" customWidth="1"/>
    <col min="11782" max="11782" width="6.875" style="150" customWidth="1"/>
    <col min="11783" max="11792" width="6.375" style="150" customWidth="1"/>
    <col min="11793" max="12032" width="9" style="150"/>
    <col min="12033" max="12033" width="3.625" style="150" customWidth="1"/>
    <col min="12034" max="12034" width="2.125" style="150" customWidth="1"/>
    <col min="12035" max="12035" width="5.375" style="150" customWidth="1"/>
    <col min="12036" max="12036" width="6.875" style="150" customWidth="1"/>
    <col min="12037" max="12037" width="2.5" style="150" customWidth="1"/>
    <col min="12038" max="12038" width="6.875" style="150" customWidth="1"/>
    <col min="12039" max="12048" width="6.375" style="150" customWidth="1"/>
    <col min="12049" max="12288" width="9" style="150"/>
    <col min="12289" max="12289" width="3.625" style="150" customWidth="1"/>
    <col min="12290" max="12290" width="2.125" style="150" customWidth="1"/>
    <col min="12291" max="12291" width="5.375" style="150" customWidth="1"/>
    <col min="12292" max="12292" width="6.875" style="150" customWidth="1"/>
    <col min="12293" max="12293" width="2.5" style="150" customWidth="1"/>
    <col min="12294" max="12294" width="6.875" style="150" customWidth="1"/>
    <col min="12295" max="12304" width="6.375" style="150" customWidth="1"/>
    <col min="12305" max="12544" width="9" style="150"/>
    <col min="12545" max="12545" width="3.625" style="150" customWidth="1"/>
    <col min="12546" max="12546" width="2.125" style="150" customWidth="1"/>
    <col min="12547" max="12547" width="5.375" style="150" customWidth="1"/>
    <col min="12548" max="12548" width="6.875" style="150" customWidth="1"/>
    <col min="12549" max="12549" width="2.5" style="150" customWidth="1"/>
    <col min="12550" max="12550" width="6.875" style="150" customWidth="1"/>
    <col min="12551" max="12560" width="6.375" style="150" customWidth="1"/>
    <col min="12561" max="12800" width="9" style="150"/>
    <col min="12801" max="12801" width="3.625" style="150" customWidth="1"/>
    <col min="12802" max="12802" width="2.125" style="150" customWidth="1"/>
    <col min="12803" max="12803" width="5.375" style="150" customWidth="1"/>
    <col min="12804" max="12804" width="6.875" style="150" customWidth="1"/>
    <col min="12805" max="12805" width="2.5" style="150" customWidth="1"/>
    <col min="12806" max="12806" width="6.875" style="150" customWidth="1"/>
    <col min="12807" max="12816" width="6.375" style="150" customWidth="1"/>
    <col min="12817" max="13056" width="9" style="150"/>
    <col min="13057" max="13057" width="3.625" style="150" customWidth="1"/>
    <col min="13058" max="13058" width="2.125" style="150" customWidth="1"/>
    <col min="13059" max="13059" width="5.375" style="150" customWidth="1"/>
    <col min="13060" max="13060" width="6.875" style="150" customWidth="1"/>
    <col min="13061" max="13061" width="2.5" style="150" customWidth="1"/>
    <col min="13062" max="13062" width="6.875" style="150" customWidth="1"/>
    <col min="13063" max="13072" width="6.375" style="150" customWidth="1"/>
    <col min="13073" max="13312" width="9" style="150"/>
    <col min="13313" max="13313" width="3.625" style="150" customWidth="1"/>
    <col min="13314" max="13314" width="2.125" style="150" customWidth="1"/>
    <col min="13315" max="13315" width="5.375" style="150" customWidth="1"/>
    <col min="13316" max="13316" width="6.875" style="150" customWidth="1"/>
    <col min="13317" max="13317" width="2.5" style="150" customWidth="1"/>
    <col min="13318" max="13318" width="6.875" style="150" customWidth="1"/>
    <col min="13319" max="13328" width="6.375" style="150" customWidth="1"/>
    <col min="13329" max="13568" width="9" style="150"/>
    <col min="13569" max="13569" width="3.625" style="150" customWidth="1"/>
    <col min="13570" max="13570" width="2.125" style="150" customWidth="1"/>
    <col min="13571" max="13571" width="5.375" style="150" customWidth="1"/>
    <col min="13572" max="13572" width="6.875" style="150" customWidth="1"/>
    <col min="13573" max="13573" width="2.5" style="150" customWidth="1"/>
    <col min="13574" max="13574" width="6.875" style="150" customWidth="1"/>
    <col min="13575" max="13584" width="6.375" style="150" customWidth="1"/>
    <col min="13585" max="13824" width="9" style="150"/>
    <col min="13825" max="13825" width="3.625" style="150" customWidth="1"/>
    <col min="13826" max="13826" width="2.125" style="150" customWidth="1"/>
    <col min="13827" max="13827" width="5.375" style="150" customWidth="1"/>
    <col min="13828" max="13828" width="6.875" style="150" customWidth="1"/>
    <col min="13829" max="13829" width="2.5" style="150" customWidth="1"/>
    <col min="13830" max="13830" width="6.875" style="150" customWidth="1"/>
    <col min="13831" max="13840" width="6.375" style="150" customWidth="1"/>
    <col min="13841" max="14080" width="9" style="150"/>
    <col min="14081" max="14081" width="3.625" style="150" customWidth="1"/>
    <col min="14082" max="14082" width="2.125" style="150" customWidth="1"/>
    <col min="14083" max="14083" width="5.375" style="150" customWidth="1"/>
    <col min="14084" max="14084" width="6.875" style="150" customWidth="1"/>
    <col min="14085" max="14085" width="2.5" style="150" customWidth="1"/>
    <col min="14086" max="14086" width="6.875" style="150" customWidth="1"/>
    <col min="14087" max="14096" width="6.375" style="150" customWidth="1"/>
    <col min="14097" max="14336" width="9" style="150"/>
    <col min="14337" max="14337" width="3.625" style="150" customWidth="1"/>
    <col min="14338" max="14338" width="2.125" style="150" customWidth="1"/>
    <col min="14339" max="14339" width="5.375" style="150" customWidth="1"/>
    <col min="14340" max="14340" width="6.875" style="150" customWidth="1"/>
    <col min="14341" max="14341" width="2.5" style="150" customWidth="1"/>
    <col min="14342" max="14342" width="6.875" style="150" customWidth="1"/>
    <col min="14343" max="14352" width="6.375" style="150" customWidth="1"/>
    <col min="14353" max="14592" width="9" style="150"/>
    <col min="14593" max="14593" width="3.625" style="150" customWidth="1"/>
    <col min="14594" max="14594" width="2.125" style="150" customWidth="1"/>
    <col min="14595" max="14595" width="5.375" style="150" customWidth="1"/>
    <col min="14596" max="14596" width="6.875" style="150" customWidth="1"/>
    <col min="14597" max="14597" width="2.5" style="150" customWidth="1"/>
    <col min="14598" max="14598" width="6.875" style="150" customWidth="1"/>
    <col min="14599" max="14608" width="6.375" style="150" customWidth="1"/>
    <col min="14609" max="14848" width="9" style="150"/>
    <col min="14849" max="14849" width="3.625" style="150" customWidth="1"/>
    <col min="14850" max="14850" width="2.125" style="150" customWidth="1"/>
    <col min="14851" max="14851" width="5.375" style="150" customWidth="1"/>
    <col min="14852" max="14852" width="6.875" style="150" customWidth="1"/>
    <col min="14853" max="14853" width="2.5" style="150" customWidth="1"/>
    <col min="14854" max="14854" width="6.875" style="150" customWidth="1"/>
    <col min="14855" max="14864" width="6.375" style="150" customWidth="1"/>
    <col min="14865" max="15104" width="9" style="150"/>
    <col min="15105" max="15105" width="3.625" style="150" customWidth="1"/>
    <col min="15106" max="15106" width="2.125" style="150" customWidth="1"/>
    <col min="15107" max="15107" width="5.375" style="150" customWidth="1"/>
    <col min="15108" max="15108" width="6.875" style="150" customWidth="1"/>
    <col min="15109" max="15109" width="2.5" style="150" customWidth="1"/>
    <col min="15110" max="15110" width="6.875" style="150" customWidth="1"/>
    <col min="15111" max="15120" width="6.375" style="150" customWidth="1"/>
    <col min="15121" max="15360" width="9" style="150"/>
    <col min="15361" max="15361" width="3.625" style="150" customWidth="1"/>
    <col min="15362" max="15362" width="2.125" style="150" customWidth="1"/>
    <col min="15363" max="15363" width="5.375" style="150" customWidth="1"/>
    <col min="15364" max="15364" width="6.875" style="150" customWidth="1"/>
    <col min="15365" max="15365" width="2.5" style="150" customWidth="1"/>
    <col min="15366" max="15366" width="6.875" style="150" customWidth="1"/>
    <col min="15367" max="15376" width="6.375" style="150" customWidth="1"/>
    <col min="15377" max="15616" width="9" style="150"/>
    <col min="15617" max="15617" width="3.625" style="150" customWidth="1"/>
    <col min="15618" max="15618" width="2.125" style="150" customWidth="1"/>
    <col min="15619" max="15619" width="5.375" style="150" customWidth="1"/>
    <col min="15620" max="15620" width="6.875" style="150" customWidth="1"/>
    <col min="15621" max="15621" width="2.5" style="150" customWidth="1"/>
    <col min="15622" max="15622" width="6.875" style="150" customWidth="1"/>
    <col min="15623" max="15632" width="6.375" style="150" customWidth="1"/>
    <col min="15633" max="15872" width="9" style="150"/>
    <col min="15873" max="15873" width="3.625" style="150" customWidth="1"/>
    <col min="15874" max="15874" width="2.125" style="150" customWidth="1"/>
    <col min="15875" max="15875" width="5.375" style="150" customWidth="1"/>
    <col min="15876" max="15876" width="6.875" style="150" customWidth="1"/>
    <col min="15877" max="15877" width="2.5" style="150" customWidth="1"/>
    <col min="15878" max="15878" width="6.875" style="150" customWidth="1"/>
    <col min="15879" max="15888" width="6.375" style="150" customWidth="1"/>
    <col min="15889" max="16128" width="9" style="150"/>
    <col min="16129" max="16129" width="3.625" style="150" customWidth="1"/>
    <col min="16130" max="16130" width="2.125" style="150" customWidth="1"/>
    <col min="16131" max="16131" width="5.375" style="150" customWidth="1"/>
    <col min="16132" max="16132" width="6.875" style="150" customWidth="1"/>
    <col min="16133" max="16133" width="2.5" style="150" customWidth="1"/>
    <col min="16134" max="16134" width="6.875" style="150" customWidth="1"/>
    <col min="16135" max="16144" width="6.375" style="150" customWidth="1"/>
    <col min="16145" max="16384" width="9" style="150"/>
  </cols>
  <sheetData>
    <row r="1" spans="1:16" ht="30" customHeight="1">
      <c r="A1" s="198" t="s">
        <v>170</v>
      </c>
      <c r="B1" s="198"/>
    </row>
    <row r="2" spans="1:16" ht="18" customHeight="1">
      <c r="B2" s="201" t="s">
        <v>171</v>
      </c>
      <c r="D2" s="202"/>
      <c r="E2" s="203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4" t="s">
        <v>172</v>
      </c>
    </row>
    <row r="3" spans="1:16" ht="13.5" customHeight="1">
      <c r="B3" s="552" t="s">
        <v>23</v>
      </c>
      <c r="C3" s="552"/>
      <c r="D3" s="552" t="s">
        <v>173</v>
      </c>
      <c r="E3" s="584" t="s">
        <v>174</v>
      </c>
      <c r="F3" s="583" t="s">
        <v>175</v>
      </c>
      <c r="G3" s="555" t="s">
        <v>176</v>
      </c>
      <c r="H3" s="555"/>
      <c r="I3" s="555"/>
      <c r="J3" s="555"/>
      <c r="K3" s="555"/>
      <c r="L3" s="555"/>
      <c r="M3" s="555"/>
      <c r="N3" s="555"/>
      <c r="O3" s="555"/>
      <c r="P3" s="505"/>
    </row>
    <row r="4" spans="1:16" ht="13.5" customHeight="1">
      <c r="B4" s="552"/>
      <c r="C4" s="552"/>
      <c r="D4" s="552"/>
      <c r="E4" s="524"/>
      <c r="F4" s="583"/>
      <c r="G4" s="205" t="s">
        <v>177</v>
      </c>
      <c r="H4" s="206" t="s">
        <v>178</v>
      </c>
      <c r="I4" s="206" t="s">
        <v>179</v>
      </c>
      <c r="J4" s="206" t="s">
        <v>180</v>
      </c>
      <c r="K4" s="206" t="s">
        <v>181</v>
      </c>
      <c r="L4" s="206" t="s">
        <v>182</v>
      </c>
      <c r="M4" s="207" t="s">
        <v>183</v>
      </c>
      <c r="N4" s="207" t="s">
        <v>184</v>
      </c>
      <c r="O4" s="206" t="s">
        <v>185</v>
      </c>
      <c r="P4" s="208" t="s">
        <v>186</v>
      </c>
    </row>
    <row r="5" spans="1:16">
      <c r="B5" s="571" t="s">
        <v>31</v>
      </c>
      <c r="C5" s="577"/>
      <c r="D5" s="580">
        <f>+F5+F6</f>
        <v>56556</v>
      </c>
      <c r="E5" s="209" t="s">
        <v>187</v>
      </c>
      <c r="F5" s="210">
        <f t="shared" ref="F5:F68" si="0">SUM(G5:P5)</f>
        <v>31872</v>
      </c>
      <c r="G5" s="211">
        <f t="shared" ref="G5:P6" si="1">+G7+G9+G11+G13</f>
        <v>735</v>
      </c>
      <c r="H5" s="211">
        <f t="shared" si="1"/>
        <v>2613</v>
      </c>
      <c r="I5" s="211">
        <f t="shared" si="1"/>
        <v>3187</v>
      </c>
      <c r="J5" s="211">
        <f t="shared" si="1"/>
        <v>5764</v>
      </c>
      <c r="K5" s="211">
        <f t="shared" si="1"/>
        <v>6168</v>
      </c>
      <c r="L5" s="211">
        <f t="shared" si="1"/>
        <v>6278</v>
      </c>
      <c r="M5" s="212">
        <f t="shared" si="1"/>
        <v>2146</v>
      </c>
      <c r="N5" s="212">
        <f t="shared" si="1"/>
        <v>2049</v>
      </c>
      <c r="O5" s="211">
        <f t="shared" si="1"/>
        <v>1708</v>
      </c>
      <c r="P5" s="213">
        <f t="shared" si="1"/>
        <v>1224</v>
      </c>
    </row>
    <row r="6" spans="1:16">
      <c r="B6" s="581"/>
      <c r="C6" s="582"/>
      <c r="D6" s="580"/>
      <c r="E6" s="214" t="s">
        <v>188</v>
      </c>
      <c r="F6" s="215">
        <f t="shared" si="0"/>
        <v>24684</v>
      </c>
      <c r="G6" s="216">
        <f t="shared" si="1"/>
        <v>540</v>
      </c>
      <c r="H6" s="217">
        <f t="shared" si="1"/>
        <v>2709</v>
      </c>
      <c r="I6" s="217">
        <f t="shared" si="1"/>
        <v>3207</v>
      </c>
      <c r="J6" s="217">
        <f t="shared" si="1"/>
        <v>5942</v>
      </c>
      <c r="K6" s="217">
        <f t="shared" si="1"/>
        <v>5680</v>
      </c>
      <c r="L6" s="217">
        <f t="shared" si="1"/>
        <v>4637</v>
      </c>
      <c r="M6" s="218">
        <f t="shared" si="1"/>
        <v>992</v>
      </c>
      <c r="N6" s="218">
        <f>+N8+N10+N12+N14</f>
        <v>626</v>
      </c>
      <c r="O6" s="217">
        <f t="shared" si="1"/>
        <v>279</v>
      </c>
      <c r="P6" s="219">
        <f t="shared" si="1"/>
        <v>72</v>
      </c>
    </row>
    <row r="7" spans="1:16" hidden="1">
      <c r="B7" s="220"/>
      <c r="C7" s="524" t="s">
        <v>8</v>
      </c>
      <c r="D7" s="580">
        <f>+F7+F8</f>
        <v>14832</v>
      </c>
      <c r="E7" s="221" t="s">
        <v>187</v>
      </c>
      <c r="F7" s="222">
        <f t="shared" si="0"/>
        <v>8301</v>
      </c>
      <c r="G7" s="223">
        <v>221</v>
      </c>
      <c r="H7" s="224">
        <v>671</v>
      </c>
      <c r="I7" s="224">
        <v>754</v>
      </c>
      <c r="J7" s="224">
        <v>1454</v>
      </c>
      <c r="K7" s="224">
        <v>1606</v>
      </c>
      <c r="L7" s="224">
        <v>1640</v>
      </c>
      <c r="M7" s="225">
        <v>538</v>
      </c>
      <c r="N7" s="225">
        <v>573</v>
      </c>
      <c r="O7" s="224">
        <v>479</v>
      </c>
      <c r="P7" s="226">
        <v>365</v>
      </c>
    </row>
    <row r="8" spans="1:16" hidden="1">
      <c r="B8" s="220"/>
      <c r="C8" s="524"/>
      <c r="D8" s="580"/>
      <c r="E8" s="227" t="s">
        <v>188</v>
      </c>
      <c r="F8" s="228">
        <f t="shared" si="0"/>
        <v>6531</v>
      </c>
      <c r="G8" s="229">
        <v>141</v>
      </c>
      <c r="H8" s="230">
        <v>694</v>
      </c>
      <c r="I8" s="230">
        <v>753</v>
      </c>
      <c r="J8" s="230">
        <v>1497</v>
      </c>
      <c r="K8" s="230">
        <v>1461</v>
      </c>
      <c r="L8" s="230">
        <v>1255</v>
      </c>
      <c r="M8" s="231">
        <v>338</v>
      </c>
      <c r="N8" s="231">
        <v>241</v>
      </c>
      <c r="O8" s="230">
        <v>121</v>
      </c>
      <c r="P8" s="232">
        <v>30</v>
      </c>
    </row>
    <row r="9" spans="1:16" hidden="1">
      <c r="B9" s="220"/>
      <c r="C9" s="524" t="s">
        <v>11</v>
      </c>
      <c r="D9" s="580">
        <f>+F9+F10</f>
        <v>19282</v>
      </c>
      <c r="E9" s="221" t="s">
        <v>187</v>
      </c>
      <c r="F9" s="222">
        <f t="shared" si="0"/>
        <v>10925</v>
      </c>
      <c r="G9" s="223">
        <v>248</v>
      </c>
      <c r="H9" s="224">
        <v>901</v>
      </c>
      <c r="I9" s="224">
        <v>1079</v>
      </c>
      <c r="J9" s="224">
        <v>2030</v>
      </c>
      <c r="K9" s="224">
        <v>2148</v>
      </c>
      <c r="L9" s="224">
        <v>2154</v>
      </c>
      <c r="M9" s="225">
        <v>734</v>
      </c>
      <c r="N9" s="225">
        <v>687</v>
      </c>
      <c r="O9" s="224">
        <v>543</v>
      </c>
      <c r="P9" s="226">
        <v>401</v>
      </c>
    </row>
    <row r="10" spans="1:16" hidden="1">
      <c r="B10" s="220"/>
      <c r="C10" s="524"/>
      <c r="D10" s="580"/>
      <c r="E10" s="227" t="s">
        <v>188</v>
      </c>
      <c r="F10" s="228">
        <f t="shared" si="0"/>
        <v>8357</v>
      </c>
      <c r="G10" s="229">
        <v>185</v>
      </c>
      <c r="H10" s="230">
        <v>911</v>
      </c>
      <c r="I10" s="230">
        <v>1083</v>
      </c>
      <c r="J10" s="230">
        <v>2141</v>
      </c>
      <c r="K10" s="230">
        <v>1966</v>
      </c>
      <c r="L10" s="230">
        <v>1523</v>
      </c>
      <c r="M10" s="231">
        <v>298</v>
      </c>
      <c r="N10" s="231">
        <v>167</v>
      </c>
      <c r="O10" s="230">
        <v>66</v>
      </c>
      <c r="P10" s="232">
        <v>17</v>
      </c>
    </row>
    <row r="11" spans="1:16" hidden="1">
      <c r="B11" s="220"/>
      <c r="C11" s="524" t="s">
        <v>12</v>
      </c>
      <c r="D11" s="580">
        <f>+F11+F12</f>
        <v>14345</v>
      </c>
      <c r="E11" s="221" t="s">
        <v>187</v>
      </c>
      <c r="F11" s="222">
        <f t="shared" si="0"/>
        <v>8146</v>
      </c>
      <c r="G11" s="223">
        <v>179</v>
      </c>
      <c r="H11" s="224">
        <v>675</v>
      </c>
      <c r="I11" s="224">
        <v>914</v>
      </c>
      <c r="J11" s="224">
        <v>1519</v>
      </c>
      <c r="K11" s="224">
        <v>1522</v>
      </c>
      <c r="L11" s="224">
        <v>1628</v>
      </c>
      <c r="M11" s="225">
        <v>583</v>
      </c>
      <c r="N11" s="225">
        <v>503</v>
      </c>
      <c r="O11" s="224">
        <v>384</v>
      </c>
      <c r="P11" s="226">
        <v>239</v>
      </c>
    </row>
    <row r="12" spans="1:16" hidden="1">
      <c r="B12" s="220"/>
      <c r="C12" s="524"/>
      <c r="D12" s="580"/>
      <c r="E12" s="227" t="s">
        <v>188</v>
      </c>
      <c r="F12" s="228">
        <f t="shared" si="0"/>
        <v>6199</v>
      </c>
      <c r="G12" s="229">
        <v>132</v>
      </c>
      <c r="H12" s="230">
        <v>698</v>
      </c>
      <c r="I12" s="230">
        <v>892</v>
      </c>
      <c r="J12" s="230">
        <v>1557</v>
      </c>
      <c r="K12" s="230">
        <v>1360</v>
      </c>
      <c r="L12" s="230">
        <v>1183</v>
      </c>
      <c r="M12" s="231">
        <v>204</v>
      </c>
      <c r="N12" s="231">
        <v>111</v>
      </c>
      <c r="O12" s="230">
        <v>46</v>
      </c>
      <c r="P12" s="232">
        <v>16</v>
      </c>
    </row>
    <row r="13" spans="1:16" hidden="1">
      <c r="B13" s="220"/>
      <c r="C13" s="524" t="s">
        <v>34</v>
      </c>
      <c r="D13" s="580">
        <f>+F13+F14</f>
        <v>8097</v>
      </c>
      <c r="E13" s="221" t="s">
        <v>187</v>
      </c>
      <c r="F13" s="222">
        <f t="shared" si="0"/>
        <v>4500</v>
      </c>
      <c r="G13" s="223">
        <v>87</v>
      </c>
      <c r="H13" s="224">
        <v>366</v>
      </c>
      <c r="I13" s="224">
        <v>440</v>
      </c>
      <c r="J13" s="224">
        <v>761</v>
      </c>
      <c r="K13" s="224">
        <v>892</v>
      </c>
      <c r="L13" s="224">
        <v>856</v>
      </c>
      <c r="M13" s="225">
        <v>291</v>
      </c>
      <c r="N13" s="225">
        <v>286</v>
      </c>
      <c r="O13" s="224">
        <v>302</v>
      </c>
      <c r="P13" s="226">
        <v>219</v>
      </c>
    </row>
    <row r="14" spans="1:16" hidden="1">
      <c r="B14" s="233"/>
      <c r="C14" s="524"/>
      <c r="D14" s="580"/>
      <c r="E14" s="227" t="s">
        <v>188</v>
      </c>
      <c r="F14" s="234">
        <f t="shared" si="0"/>
        <v>3597</v>
      </c>
      <c r="G14" s="235">
        <v>82</v>
      </c>
      <c r="H14" s="236">
        <v>406</v>
      </c>
      <c r="I14" s="236">
        <v>479</v>
      </c>
      <c r="J14" s="236">
        <v>747</v>
      </c>
      <c r="K14" s="236">
        <v>893</v>
      </c>
      <c r="L14" s="236">
        <v>676</v>
      </c>
      <c r="M14" s="237">
        <v>152</v>
      </c>
      <c r="N14" s="237">
        <v>107</v>
      </c>
      <c r="O14" s="236">
        <v>46</v>
      </c>
      <c r="P14" s="238">
        <v>9</v>
      </c>
    </row>
    <row r="15" spans="1:16">
      <c r="B15" s="571" t="s">
        <v>35</v>
      </c>
      <c r="C15" s="577"/>
      <c r="D15" s="580">
        <f>+F15+F16</f>
        <v>57653</v>
      </c>
      <c r="E15" s="209" t="s">
        <v>187</v>
      </c>
      <c r="F15" s="210">
        <f t="shared" si="0"/>
        <v>32297</v>
      </c>
      <c r="G15" s="211">
        <f t="shared" ref="G15:P16" si="2">+G17+G19+G21+G23</f>
        <v>806</v>
      </c>
      <c r="H15" s="211">
        <f t="shared" si="2"/>
        <v>2555</v>
      </c>
      <c r="I15" s="211">
        <f t="shared" si="2"/>
        <v>3126</v>
      </c>
      <c r="J15" s="211">
        <f t="shared" si="2"/>
        <v>5947</v>
      </c>
      <c r="K15" s="211">
        <f t="shared" si="2"/>
        <v>6020</v>
      </c>
      <c r="L15" s="211">
        <f t="shared" si="2"/>
        <v>6427</v>
      </c>
      <c r="M15" s="212">
        <f t="shared" si="2"/>
        <v>2246</v>
      </c>
      <c r="N15" s="212">
        <f t="shared" si="2"/>
        <v>2026</v>
      </c>
      <c r="O15" s="211">
        <f t="shared" si="2"/>
        <v>1734</v>
      </c>
      <c r="P15" s="213">
        <f t="shared" si="2"/>
        <v>1410</v>
      </c>
    </row>
    <row r="16" spans="1:16">
      <c r="B16" s="581"/>
      <c r="C16" s="582"/>
      <c r="D16" s="580"/>
      <c r="E16" s="214" t="s">
        <v>188</v>
      </c>
      <c r="F16" s="215">
        <f t="shared" si="0"/>
        <v>25356</v>
      </c>
      <c r="G16" s="216">
        <f t="shared" si="2"/>
        <v>632</v>
      </c>
      <c r="H16" s="217">
        <f t="shared" si="2"/>
        <v>2584</v>
      </c>
      <c r="I16" s="217">
        <f t="shared" si="2"/>
        <v>3218</v>
      </c>
      <c r="J16" s="217">
        <f t="shared" si="2"/>
        <v>6021</v>
      </c>
      <c r="K16" s="217">
        <f t="shared" si="2"/>
        <v>5690</v>
      </c>
      <c r="L16" s="217">
        <f t="shared" si="2"/>
        <v>4958</v>
      </c>
      <c r="M16" s="218">
        <f t="shared" si="2"/>
        <v>1111</v>
      </c>
      <c r="N16" s="218">
        <f>+N18+N20+N22+N24</f>
        <v>725</v>
      </c>
      <c r="O16" s="217">
        <f t="shared" si="2"/>
        <v>323</v>
      </c>
      <c r="P16" s="219">
        <f t="shared" si="2"/>
        <v>94</v>
      </c>
    </row>
    <row r="17" spans="2:16" hidden="1">
      <c r="B17" s="220"/>
      <c r="C17" s="524" t="s">
        <v>8</v>
      </c>
      <c r="D17" s="580">
        <f>+F17+F18</f>
        <v>15031</v>
      </c>
      <c r="E17" s="221" t="s">
        <v>187</v>
      </c>
      <c r="F17" s="222">
        <f t="shared" si="0"/>
        <v>8353</v>
      </c>
      <c r="G17" s="223">
        <v>228</v>
      </c>
      <c r="H17" s="224">
        <v>663</v>
      </c>
      <c r="I17" s="224">
        <v>738</v>
      </c>
      <c r="J17" s="224">
        <v>1483</v>
      </c>
      <c r="K17" s="224">
        <v>1557</v>
      </c>
      <c r="L17" s="224">
        <v>1673</v>
      </c>
      <c r="M17" s="225">
        <v>562</v>
      </c>
      <c r="N17" s="225">
        <v>533</v>
      </c>
      <c r="O17" s="224">
        <v>495</v>
      </c>
      <c r="P17" s="226">
        <v>421</v>
      </c>
    </row>
    <row r="18" spans="2:16" hidden="1">
      <c r="B18" s="220"/>
      <c r="C18" s="524"/>
      <c r="D18" s="580"/>
      <c r="E18" s="227" t="s">
        <v>188</v>
      </c>
      <c r="F18" s="228">
        <f t="shared" si="0"/>
        <v>6678</v>
      </c>
      <c r="G18" s="229">
        <v>184</v>
      </c>
      <c r="H18" s="230">
        <v>648</v>
      </c>
      <c r="I18" s="230">
        <v>772</v>
      </c>
      <c r="J18" s="230">
        <v>1482</v>
      </c>
      <c r="K18" s="230">
        <v>1452</v>
      </c>
      <c r="L18" s="230">
        <v>1344</v>
      </c>
      <c r="M18" s="231">
        <v>350</v>
      </c>
      <c r="N18" s="231">
        <v>262</v>
      </c>
      <c r="O18" s="230">
        <v>144</v>
      </c>
      <c r="P18" s="232">
        <v>40</v>
      </c>
    </row>
    <row r="19" spans="2:16" hidden="1">
      <c r="B19" s="220"/>
      <c r="C19" s="524" t="s">
        <v>11</v>
      </c>
      <c r="D19" s="580">
        <f>+F19+F20</f>
        <v>19691</v>
      </c>
      <c r="E19" s="221" t="s">
        <v>187</v>
      </c>
      <c r="F19" s="222">
        <f t="shared" si="0"/>
        <v>11086</v>
      </c>
      <c r="G19" s="223">
        <v>271</v>
      </c>
      <c r="H19" s="224">
        <v>878</v>
      </c>
      <c r="I19" s="224">
        <v>1072</v>
      </c>
      <c r="J19" s="224">
        <v>2073</v>
      </c>
      <c r="K19" s="224">
        <v>2136</v>
      </c>
      <c r="L19" s="224">
        <v>2192</v>
      </c>
      <c r="M19" s="225">
        <v>765</v>
      </c>
      <c r="N19" s="225">
        <v>705</v>
      </c>
      <c r="O19" s="224">
        <v>550</v>
      </c>
      <c r="P19" s="226">
        <v>444</v>
      </c>
    </row>
    <row r="20" spans="2:16" hidden="1">
      <c r="B20" s="220"/>
      <c r="C20" s="524"/>
      <c r="D20" s="580"/>
      <c r="E20" s="227" t="s">
        <v>188</v>
      </c>
      <c r="F20" s="228">
        <f t="shared" si="0"/>
        <v>8605</v>
      </c>
      <c r="G20" s="229">
        <v>219</v>
      </c>
      <c r="H20" s="230">
        <v>852</v>
      </c>
      <c r="I20" s="230">
        <v>1113</v>
      </c>
      <c r="J20" s="230">
        <v>2154</v>
      </c>
      <c r="K20" s="230">
        <v>1989</v>
      </c>
      <c r="L20" s="230">
        <v>1630</v>
      </c>
      <c r="M20" s="231">
        <v>345</v>
      </c>
      <c r="N20" s="231">
        <v>204</v>
      </c>
      <c r="O20" s="230">
        <v>78</v>
      </c>
      <c r="P20" s="232">
        <v>21</v>
      </c>
    </row>
    <row r="21" spans="2:16" hidden="1">
      <c r="B21" s="220"/>
      <c r="C21" s="524" t="s">
        <v>12</v>
      </c>
      <c r="D21" s="580">
        <f>+F21+F22</f>
        <v>14652</v>
      </c>
      <c r="E21" s="221" t="s">
        <v>187</v>
      </c>
      <c r="F21" s="222">
        <f t="shared" si="0"/>
        <v>8286</v>
      </c>
      <c r="G21" s="223">
        <v>189</v>
      </c>
      <c r="H21" s="224">
        <v>674</v>
      </c>
      <c r="I21" s="224">
        <v>873</v>
      </c>
      <c r="J21" s="224">
        <v>1602</v>
      </c>
      <c r="K21" s="224">
        <v>1477</v>
      </c>
      <c r="L21" s="224">
        <v>1669</v>
      </c>
      <c r="M21" s="225">
        <v>611</v>
      </c>
      <c r="N21" s="225">
        <v>511</v>
      </c>
      <c r="O21" s="224">
        <v>388</v>
      </c>
      <c r="P21" s="226">
        <v>292</v>
      </c>
    </row>
    <row r="22" spans="2:16" hidden="1">
      <c r="B22" s="220"/>
      <c r="C22" s="524"/>
      <c r="D22" s="580"/>
      <c r="E22" s="227" t="s">
        <v>188</v>
      </c>
      <c r="F22" s="228">
        <f t="shared" si="0"/>
        <v>6366</v>
      </c>
      <c r="G22" s="229">
        <v>140</v>
      </c>
      <c r="H22" s="230">
        <v>677</v>
      </c>
      <c r="I22" s="230">
        <v>868</v>
      </c>
      <c r="J22" s="230">
        <v>1598</v>
      </c>
      <c r="K22" s="230">
        <v>1361</v>
      </c>
      <c r="L22" s="230">
        <v>1268</v>
      </c>
      <c r="M22" s="231">
        <v>247</v>
      </c>
      <c r="N22" s="231">
        <v>136</v>
      </c>
      <c r="O22" s="230">
        <v>51</v>
      </c>
      <c r="P22" s="232">
        <v>20</v>
      </c>
    </row>
    <row r="23" spans="2:16" hidden="1">
      <c r="B23" s="220"/>
      <c r="C23" s="524" t="s">
        <v>34</v>
      </c>
      <c r="D23" s="580">
        <f>+F23+F24</f>
        <v>8279</v>
      </c>
      <c r="E23" s="221" t="s">
        <v>187</v>
      </c>
      <c r="F23" s="222">
        <f t="shared" si="0"/>
        <v>4572</v>
      </c>
      <c r="G23" s="223">
        <v>118</v>
      </c>
      <c r="H23" s="224">
        <v>340</v>
      </c>
      <c r="I23" s="224">
        <v>443</v>
      </c>
      <c r="J23" s="224">
        <v>789</v>
      </c>
      <c r="K23" s="224">
        <v>850</v>
      </c>
      <c r="L23" s="224">
        <v>893</v>
      </c>
      <c r="M23" s="225">
        <v>308</v>
      </c>
      <c r="N23" s="225">
        <v>277</v>
      </c>
      <c r="O23" s="224">
        <v>301</v>
      </c>
      <c r="P23" s="226">
        <v>253</v>
      </c>
    </row>
    <row r="24" spans="2:16" hidden="1">
      <c r="B24" s="233"/>
      <c r="C24" s="524"/>
      <c r="D24" s="580"/>
      <c r="E24" s="227" t="s">
        <v>188</v>
      </c>
      <c r="F24" s="234">
        <f t="shared" si="0"/>
        <v>3707</v>
      </c>
      <c r="G24" s="235">
        <v>89</v>
      </c>
      <c r="H24" s="236">
        <v>407</v>
      </c>
      <c r="I24" s="236">
        <v>465</v>
      </c>
      <c r="J24" s="236">
        <v>787</v>
      </c>
      <c r="K24" s="236">
        <v>888</v>
      </c>
      <c r="L24" s="236">
        <v>716</v>
      </c>
      <c r="M24" s="237">
        <v>169</v>
      </c>
      <c r="N24" s="237">
        <v>123</v>
      </c>
      <c r="O24" s="236">
        <v>50</v>
      </c>
      <c r="P24" s="238">
        <v>13</v>
      </c>
    </row>
    <row r="25" spans="2:16">
      <c r="B25" s="571" t="s">
        <v>36</v>
      </c>
      <c r="C25" s="577"/>
      <c r="D25" s="580">
        <f>+F25+F26</f>
        <v>58470</v>
      </c>
      <c r="E25" s="209" t="s">
        <v>187</v>
      </c>
      <c r="F25" s="210">
        <f t="shared" si="0"/>
        <v>32554</v>
      </c>
      <c r="G25" s="211">
        <f t="shared" ref="G25:P26" si="3">+G27+G29+G31+G33</f>
        <v>757</v>
      </c>
      <c r="H25" s="211">
        <f t="shared" si="3"/>
        <v>2515</v>
      </c>
      <c r="I25" s="211">
        <f t="shared" si="3"/>
        <v>3047</v>
      </c>
      <c r="J25" s="211">
        <f t="shared" si="3"/>
        <v>6032</v>
      </c>
      <c r="K25" s="211">
        <f t="shared" si="3"/>
        <v>5956</v>
      </c>
      <c r="L25" s="211">
        <f t="shared" si="3"/>
        <v>6496</v>
      </c>
      <c r="M25" s="212">
        <f t="shared" si="3"/>
        <v>2345</v>
      </c>
      <c r="N25" s="212">
        <f t="shared" si="3"/>
        <v>2064</v>
      </c>
      <c r="O25" s="211">
        <f t="shared" si="3"/>
        <v>1796</v>
      </c>
      <c r="P25" s="213">
        <f t="shared" si="3"/>
        <v>1546</v>
      </c>
    </row>
    <row r="26" spans="2:16">
      <c r="B26" s="581"/>
      <c r="C26" s="582"/>
      <c r="D26" s="580"/>
      <c r="E26" s="214" t="s">
        <v>188</v>
      </c>
      <c r="F26" s="215">
        <f t="shared" si="0"/>
        <v>25916</v>
      </c>
      <c r="G26" s="216">
        <f t="shared" si="3"/>
        <v>609</v>
      </c>
      <c r="H26" s="217">
        <f t="shared" si="3"/>
        <v>2573</v>
      </c>
      <c r="I26" s="217">
        <f t="shared" si="3"/>
        <v>3044</v>
      </c>
      <c r="J26" s="217">
        <f t="shared" si="3"/>
        <v>6228</v>
      </c>
      <c r="K26" s="217">
        <f t="shared" si="3"/>
        <v>5637</v>
      </c>
      <c r="L26" s="217">
        <f t="shared" si="3"/>
        <v>5246</v>
      </c>
      <c r="M26" s="218">
        <f t="shared" si="3"/>
        <v>1268</v>
      </c>
      <c r="N26" s="218">
        <f>+N28+N30+N32+N34</f>
        <v>795</v>
      </c>
      <c r="O26" s="217">
        <f t="shared" si="3"/>
        <v>387</v>
      </c>
      <c r="P26" s="219">
        <f t="shared" si="3"/>
        <v>129</v>
      </c>
    </row>
    <row r="27" spans="2:16">
      <c r="B27" s="220"/>
      <c r="C27" s="524" t="s">
        <v>8</v>
      </c>
      <c r="D27" s="580">
        <f>+F27+F28</f>
        <v>15135</v>
      </c>
      <c r="E27" s="221" t="s">
        <v>187</v>
      </c>
      <c r="F27" s="222">
        <f t="shared" si="0"/>
        <v>8381</v>
      </c>
      <c r="G27" s="223">
        <v>191</v>
      </c>
      <c r="H27" s="224">
        <v>667</v>
      </c>
      <c r="I27" s="224">
        <v>751</v>
      </c>
      <c r="J27" s="224">
        <v>1460</v>
      </c>
      <c r="K27" s="224">
        <v>1538</v>
      </c>
      <c r="L27" s="224">
        <v>1694</v>
      </c>
      <c r="M27" s="225">
        <v>574</v>
      </c>
      <c r="N27" s="225">
        <v>557</v>
      </c>
      <c r="O27" s="224">
        <v>503</v>
      </c>
      <c r="P27" s="226">
        <v>446</v>
      </c>
    </row>
    <row r="28" spans="2:16">
      <c r="B28" s="220"/>
      <c r="C28" s="524"/>
      <c r="D28" s="580"/>
      <c r="E28" s="227" t="s">
        <v>188</v>
      </c>
      <c r="F28" s="228">
        <f t="shared" si="0"/>
        <v>6754</v>
      </c>
      <c r="G28" s="229">
        <v>160</v>
      </c>
      <c r="H28" s="230">
        <v>645</v>
      </c>
      <c r="I28" s="230">
        <v>730</v>
      </c>
      <c r="J28" s="230">
        <v>1481</v>
      </c>
      <c r="K28" s="230">
        <v>1447</v>
      </c>
      <c r="L28" s="230">
        <v>1421</v>
      </c>
      <c r="M28" s="231">
        <v>366</v>
      </c>
      <c r="N28" s="231">
        <v>288</v>
      </c>
      <c r="O28" s="230">
        <v>167</v>
      </c>
      <c r="P28" s="232">
        <v>49</v>
      </c>
    </row>
    <row r="29" spans="2:16">
      <c r="B29" s="220"/>
      <c r="C29" s="524" t="s">
        <v>11</v>
      </c>
      <c r="D29" s="580">
        <f>+F29+F30</f>
        <v>19986</v>
      </c>
      <c r="E29" s="221" t="s">
        <v>187</v>
      </c>
      <c r="F29" s="222">
        <f t="shared" si="0"/>
        <v>11179</v>
      </c>
      <c r="G29" s="223">
        <v>269</v>
      </c>
      <c r="H29" s="224">
        <v>879</v>
      </c>
      <c r="I29" s="224">
        <v>991</v>
      </c>
      <c r="J29" s="224">
        <v>2135</v>
      </c>
      <c r="K29" s="224">
        <v>2114</v>
      </c>
      <c r="L29" s="224">
        <v>2213</v>
      </c>
      <c r="M29" s="225">
        <v>809</v>
      </c>
      <c r="N29" s="225">
        <v>696</v>
      </c>
      <c r="O29" s="224">
        <v>587</v>
      </c>
      <c r="P29" s="226">
        <v>486</v>
      </c>
    </row>
    <row r="30" spans="2:16">
      <c r="B30" s="220"/>
      <c r="C30" s="524"/>
      <c r="D30" s="580"/>
      <c r="E30" s="227" t="s">
        <v>188</v>
      </c>
      <c r="F30" s="228">
        <f t="shared" si="0"/>
        <v>8807</v>
      </c>
      <c r="G30" s="229">
        <v>205</v>
      </c>
      <c r="H30" s="230">
        <v>871</v>
      </c>
      <c r="I30" s="230">
        <v>1018</v>
      </c>
      <c r="J30" s="230">
        <v>2233</v>
      </c>
      <c r="K30" s="230">
        <v>2000</v>
      </c>
      <c r="L30" s="230">
        <v>1724</v>
      </c>
      <c r="M30" s="231">
        <v>418</v>
      </c>
      <c r="N30" s="231">
        <v>213</v>
      </c>
      <c r="O30" s="230">
        <v>91</v>
      </c>
      <c r="P30" s="232">
        <v>34</v>
      </c>
    </row>
    <row r="31" spans="2:16">
      <c r="B31" s="220"/>
      <c r="C31" s="524" t="s">
        <v>12</v>
      </c>
      <c r="D31" s="580">
        <f>+F31+F32</f>
        <v>14927</v>
      </c>
      <c r="E31" s="221" t="s">
        <v>187</v>
      </c>
      <c r="F31" s="222">
        <f t="shared" si="0"/>
        <v>8372</v>
      </c>
      <c r="G31" s="223">
        <v>190</v>
      </c>
      <c r="H31" s="224">
        <v>639</v>
      </c>
      <c r="I31" s="224">
        <v>874</v>
      </c>
      <c r="J31" s="224">
        <v>1625</v>
      </c>
      <c r="K31" s="224">
        <v>1480</v>
      </c>
      <c r="L31" s="224">
        <v>1655</v>
      </c>
      <c r="M31" s="225">
        <v>641</v>
      </c>
      <c r="N31" s="225">
        <v>540</v>
      </c>
      <c r="O31" s="224">
        <v>401</v>
      </c>
      <c r="P31" s="226">
        <v>327</v>
      </c>
    </row>
    <row r="32" spans="2:16">
      <c r="B32" s="220"/>
      <c r="C32" s="524"/>
      <c r="D32" s="580"/>
      <c r="E32" s="227" t="s">
        <v>188</v>
      </c>
      <c r="F32" s="228">
        <f t="shared" si="0"/>
        <v>6555</v>
      </c>
      <c r="G32" s="229">
        <v>140</v>
      </c>
      <c r="H32" s="230">
        <v>667</v>
      </c>
      <c r="I32" s="230">
        <v>847</v>
      </c>
      <c r="J32" s="230">
        <v>1679</v>
      </c>
      <c r="K32" s="230">
        <v>1343</v>
      </c>
      <c r="L32" s="230">
        <v>1336</v>
      </c>
      <c r="M32" s="231">
        <v>293</v>
      </c>
      <c r="N32" s="231">
        <v>153</v>
      </c>
      <c r="O32" s="230">
        <v>70</v>
      </c>
      <c r="P32" s="232">
        <v>27</v>
      </c>
    </row>
    <row r="33" spans="2:16">
      <c r="B33" s="220"/>
      <c r="C33" s="524" t="s">
        <v>34</v>
      </c>
      <c r="D33" s="580">
        <f>+F33+F34</f>
        <v>8422</v>
      </c>
      <c r="E33" s="221" t="s">
        <v>187</v>
      </c>
      <c r="F33" s="222">
        <f t="shared" si="0"/>
        <v>4622</v>
      </c>
      <c r="G33" s="223">
        <v>107</v>
      </c>
      <c r="H33" s="224">
        <v>330</v>
      </c>
      <c r="I33" s="224">
        <v>431</v>
      </c>
      <c r="J33" s="224">
        <v>812</v>
      </c>
      <c r="K33" s="224">
        <v>824</v>
      </c>
      <c r="L33" s="224">
        <v>934</v>
      </c>
      <c r="M33" s="225">
        <v>321</v>
      </c>
      <c r="N33" s="225">
        <v>271</v>
      </c>
      <c r="O33" s="224">
        <v>305</v>
      </c>
      <c r="P33" s="226">
        <v>287</v>
      </c>
    </row>
    <row r="34" spans="2:16">
      <c r="B34" s="233"/>
      <c r="C34" s="524"/>
      <c r="D34" s="580"/>
      <c r="E34" s="227" t="s">
        <v>188</v>
      </c>
      <c r="F34" s="234">
        <f t="shared" si="0"/>
        <v>3800</v>
      </c>
      <c r="G34" s="235">
        <v>104</v>
      </c>
      <c r="H34" s="236">
        <v>390</v>
      </c>
      <c r="I34" s="236">
        <v>449</v>
      </c>
      <c r="J34" s="236">
        <v>835</v>
      </c>
      <c r="K34" s="236">
        <v>847</v>
      </c>
      <c r="L34" s="236">
        <v>765</v>
      </c>
      <c r="M34" s="237">
        <v>191</v>
      </c>
      <c r="N34" s="237">
        <v>141</v>
      </c>
      <c r="O34" s="236">
        <v>59</v>
      </c>
      <c r="P34" s="238">
        <v>19</v>
      </c>
    </row>
    <row r="35" spans="2:16">
      <c r="B35" s="571" t="s">
        <v>38</v>
      </c>
      <c r="C35" s="577"/>
      <c r="D35" s="580">
        <f>+F35+F36</f>
        <v>59483</v>
      </c>
      <c r="E35" s="209" t="s">
        <v>187</v>
      </c>
      <c r="F35" s="210">
        <f t="shared" si="0"/>
        <v>32967</v>
      </c>
      <c r="G35" s="211">
        <f t="shared" ref="G35:P36" si="4">+G37+G39+G41+G43</f>
        <v>750</v>
      </c>
      <c r="H35" s="211">
        <f t="shared" si="4"/>
        <v>2530</v>
      </c>
      <c r="I35" s="211">
        <f t="shared" si="4"/>
        <v>2904</v>
      </c>
      <c r="J35" s="211">
        <f t="shared" si="4"/>
        <v>6205</v>
      </c>
      <c r="K35" s="211">
        <f t="shared" si="4"/>
        <v>5911</v>
      </c>
      <c r="L35" s="211">
        <f t="shared" si="4"/>
        <v>6543</v>
      </c>
      <c r="M35" s="212">
        <f t="shared" si="4"/>
        <v>2538</v>
      </c>
      <c r="N35" s="212">
        <f>+N37+N39+N41+N43</f>
        <v>2048</v>
      </c>
      <c r="O35" s="211">
        <f t="shared" si="4"/>
        <v>1848</v>
      </c>
      <c r="P35" s="213">
        <f t="shared" si="4"/>
        <v>1690</v>
      </c>
    </row>
    <row r="36" spans="2:16">
      <c r="B36" s="581"/>
      <c r="C36" s="582"/>
      <c r="D36" s="580"/>
      <c r="E36" s="214" t="s">
        <v>188</v>
      </c>
      <c r="F36" s="215">
        <f t="shared" si="0"/>
        <v>26516</v>
      </c>
      <c r="G36" s="216">
        <f t="shared" si="4"/>
        <v>617</v>
      </c>
      <c r="H36" s="217">
        <f t="shared" si="4"/>
        <v>2524</v>
      </c>
      <c r="I36" s="217">
        <f t="shared" si="4"/>
        <v>2949</v>
      </c>
      <c r="J36" s="217">
        <f t="shared" si="4"/>
        <v>6324</v>
      </c>
      <c r="K36" s="217">
        <f t="shared" si="4"/>
        <v>5734</v>
      </c>
      <c r="L36" s="217">
        <f t="shared" si="4"/>
        <v>5434</v>
      </c>
      <c r="M36" s="218">
        <f t="shared" si="4"/>
        <v>1485</v>
      </c>
      <c r="N36" s="218">
        <f>+N38+N40+N42+N44</f>
        <v>831</v>
      </c>
      <c r="O36" s="217">
        <f t="shared" si="4"/>
        <v>447</v>
      </c>
      <c r="P36" s="219">
        <f t="shared" si="4"/>
        <v>171</v>
      </c>
    </row>
    <row r="37" spans="2:16">
      <c r="B37" s="220"/>
      <c r="C37" s="524" t="s">
        <v>8</v>
      </c>
      <c r="D37" s="580">
        <f>+F37+F38</f>
        <v>15290</v>
      </c>
      <c r="E37" s="221" t="s">
        <v>187</v>
      </c>
      <c r="F37" s="222">
        <f t="shared" si="0"/>
        <v>8433</v>
      </c>
      <c r="G37" s="223">
        <v>189</v>
      </c>
      <c r="H37" s="224">
        <v>675</v>
      </c>
      <c r="I37" s="224">
        <v>696</v>
      </c>
      <c r="J37" s="224">
        <v>1474</v>
      </c>
      <c r="K37" s="224">
        <v>1524</v>
      </c>
      <c r="L37" s="224">
        <v>1704</v>
      </c>
      <c r="M37" s="225">
        <v>635</v>
      </c>
      <c r="N37" s="225">
        <v>550</v>
      </c>
      <c r="O37" s="224">
        <v>508</v>
      </c>
      <c r="P37" s="226">
        <v>478</v>
      </c>
    </row>
    <row r="38" spans="2:16">
      <c r="B38" s="220"/>
      <c r="C38" s="524"/>
      <c r="D38" s="580"/>
      <c r="E38" s="227" t="s">
        <v>188</v>
      </c>
      <c r="F38" s="228">
        <f t="shared" si="0"/>
        <v>6857</v>
      </c>
      <c r="G38" s="229">
        <v>179</v>
      </c>
      <c r="H38" s="230">
        <v>623</v>
      </c>
      <c r="I38" s="230">
        <v>688</v>
      </c>
      <c r="J38" s="230">
        <v>1488</v>
      </c>
      <c r="K38" s="230">
        <v>1466</v>
      </c>
      <c r="L38" s="230">
        <v>1435</v>
      </c>
      <c r="M38" s="231">
        <v>427</v>
      </c>
      <c r="N38" s="231">
        <v>295</v>
      </c>
      <c r="O38" s="230">
        <v>186</v>
      </c>
      <c r="P38" s="232">
        <v>70</v>
      </c>
    </row>
    <row r="39" spans="2:16">
      <c r="B39" s="220"/>
      <c r="C39" s="524" t="s">
        <v>11</v>
      </c>
      <c r="D39" s="580">
        <f>+F39+F40</f>
        <v>20453</v>
      </c>
      <c r="E39" s="221" t="s">
        <v>187</v>
      </c>
      <c r="F39" s="222">
        <f t="shared" si="0"/>
        <v>11385</v>
      </c>
      <c r="G39" s="223">
        <v>272</v>
      </c>
      <c r="H39" s="224">
        <v>876</v>
      </c>
      <c r="I39" s="224">
        <v>991</v>
      </c>
      <c r="J39" s="224">
        <v>2220</v>
      </c>
      <c r="K39" s="224">
        <v>2068</v>
      </c>
      <c r="L39" s="224">
        <v>2234</v>
      </c>
      <c r="M39" s="225">
        <v>889</v>
      </c>
      <c r="N39" s="225">
        <v>677</v>
      </c>
      <c r="O39" s="224">
        <v>624</v>
      </c>
      <c r="P39" s="226">
        <v>534</v>
      </c>
    </row>
    <row r="40" spans="2:16">
      <c r="B40" s="220"/>
      <c r="C40" s="524"/>
      <c r="D40" s="580"/>
      <c r="E40" s="227" t="s">
        <v>188</v>
      </c>
      <c r="F40" s="228">
        <f t="shared" si="0"/>
        <v>9068</v>
      </c>
      <c r="G40" s="229">
        <v>227</v>
      </c>
      <c r="H40" s="230">
        <v>857</v>
      </c>
      <c r="I40" s="230">
        <v>990</v>
      </c>
      <c r="J40" s="230">
        <v>2275</v>
      </c>
      <c r="K40" s="230">
        <v>2044</v>
      </c>
      <c r="L40" s="230">
        <v>1804</v>
      </c>
      <c r="M40" s="231">
        <v>487</v>
      </c>
      <c r="N40" s="231">
        <v>229</v>
      </c>
      <c r="O40" s="230">
        <v>115</v>
      </c>
      <c r="P40" s="232">
        <v>40</v>
      </c>
    </row>
    <row r="41" spans="2:16">
      <c r="B41" s="220"/>
      <c r="C41" s="524" t="s">
        <v>12</v>
      </c>
      <c r="D41" s="580">
        <f>+F41+F42</f>
        <v>15196</v>
      </c>
      <c r="E41" s="221" t="s">
        <v>187</v>
      </c>
      <c r="F41" s="222">
        <f t="shared" si="0"/>
        <v>8498</v>
      </c>
      <c r="G41" s="223">
        <v>186</v>
      </c>
      <c r="H41" s="224">
        <v>639</v>
      </c>
      <c r="I41" s="224">
        <v>833</v>
      </c>
      <c r="J41" s="224">
        <v>1667</v>
      </c>
      <c r="K41" s="224">
        <v>1507</v>
      </c>
      <c r="L41" s="224">
        <v>1651</v>
      </c>
      <c r="M41" s="225">
        <v>684</v>
      </c>
      <c r="N41" s="225">
        <v>551</v>
      </c>
      <c r="O41" s="224">
        <v>418</v>
      </c>
      <c r="P41" s="226">
        <v>362</v>
      </c>
    </row>
    <row r="42" spans="2:16">
      <c r="B42" s="220"/>
      <c r="C42" s="524"/>
      <c r="D42" s="580"/>
      <c r="E42" s="227" t="s">
        <v>188</v>
      </c>
      <c r="F42" s="228">
        <f t="shared" si="0"/>
        <v>6698</v>
      </c>
      <c r="G42" s="229">
        <v>120</v>
      </c>
      <c r="H42" s="230">
        <v>639</v>
      </c>
      <c r="I42" s="230">
        <v>837</v>
      </c>
      <c r="J42" s="230">
        <v>1699</v>
      </c>
      <c r="K42" s="230">
        <v>1381</v>
      </c>
      <c r="L42" s="230">
        <v>1394</v>
      </c>
      <c r="M42" s="231">
        <v>353</v>
      </c>
      <c r="N42" s="231">
        <v>164</v>
      </c>
      <c r="O42" s="230">
        <v>77</v>
      </c>
      <c r="P42" s="232">
        <v>34</v>
      </c>
    </row>
    <row r="43" spans="2:16">
      <c r="B43" s="220"/>
      <c r="C43" s="524" t="s">
        <v>34</v>
      </c>
      <c r="D43" s="580">
        <f>+F43+F44</f>
        <v>8544</v>
      </c>
      <c r="E43" s="221" t="s">
        <v>187</v>
      </c>
      <c r="F43" s="222">
        <f t="shared" si="0"/>
        <v>4651</v>
      </c>
      <c r="G43" s="223">
        <v>103</v>
      </c>
      <c r="H43" s="224">
        <v>340</v>
      </c>
      <c r="I43" s="224">
        <v>384</v>
      </c>
      <c r="J43" s="224">
        <v>844</v>
      </c>
      <c r="K43" s="224">
        <v>812</v>
      </c>
      <c r="L43" s="224">
        <v>954</v>
      </c>
      <c r="M43" s="225">
        <v>330</v>
      </c>
      <c r="N43" s="225">
        <v>270</v>
      </c>
      <c r="O43" s="224">
        <v>298</v>
      </c>
      <c r="P43" s="226">
        <v>316</v>
      </c>
    </row>
    <row r="44" spans="2:16">
      <c r="B44" s="233"/>
      <c r="C44" s="524"/>
      <c r="D44" s="580"/>
      <c r="E44" s="227" t="s">
        <v>188</v>
      </c>
      <c r="F44" s="234">
        <f t="shared" si="0"/>
        <v>3893</v>
      </c>
      <c r="G44" s="235">
        <v>91</v>
      </c>
      <c r="H44" s="236">
        <v>405</v>
      </c>
      <c r="I44" s="236">
        <v>434</v>
      </c>
      <c r="J44" s="236">
        <v>862</v>
      </c>
      <c r="K44" s="236">
        <v>843</v>
      </c>
      <c r="L44" s="236">
        <v>801</v>
      </c>
      <c r="M44" s="237">
        <v>218</v>
      </c>
      <c r="N44" s="237">
        <v>143</v>
      </c>
      <c r="O44" s="236">
        <v>69</v>
      </c>
      <c r="P44" s="238">
        <v>27</v>
      </c>
    </row>
    <row r="45" spans="2:16">
      <c r="B45" s="571" t="s">
        <v>39</v>
      </c>
      <c r="C45" s="577"/>
      <c r="D45" s="580">
        <f>+F45+F46</f>
        <v>60351</v>
      </c>
      <c r="E45" s="209" t="s">
        <v>187</v>
      </c>
      <c r="F45" s="210">
        <f t="shared" si="0"/>
        <v>33332</v>
      </c>
      <c r="G45" s="211">
        <f t="shared" ref="G45:P46" si="5">+G47+G49+G51+G53</f>
        <v>727</v>
      </c>
      <c r="H45" s="211">
        <f t="shared" si="5"/>
        <v>2586</v>
      </c>
      <c r="I45" s="211">
        <f t="shared" si="5"/>
        <v>2846</v>
      </c>
      <c r="J45" s="211">
        <f t="shared" si="5"/>
        <v>6255</v>
      </c>
      <c r="K45" s="211">
        <f t="shared" si="5"/>
        <v>5922</v>
      </c>
      <c r="L45" s="211">
        <f t="shared" si="5"/>
        <v>6570</v>
      </c>
      <c r="M45" s="212">
        <f t="shared" si="5"/>
        <v>2674</v>
      </c>
      <c r="N45" s="212">
        <f>+N47+N49+N51+N53</f>
        <v>2011</v>
      </c>
      <c r="O45" s="211">
        <f t="shared" si="5"/>
        <v>1872</v>
      </c>
      <c r="P45" s="213">
        <f t="shared" si="5"/>
        <v>1869</v>
      </c>
    </row>
    <row r="46" spans="2:16">
      <c r="B46" s="581"/>
      <c r="C46" s="582"/>
      <c r="D46" s="580"/>
      <c r="E46" s="214" t="s">
        <v>188</v>
      </c>
      <c r="F46" s="215">
        <f t="shared" si="0"/>
        <v>27019</v>
      </c>
      <c r="G46" s="216">
        <f t="shared" si="5"/>
        <v>584</v>
      </c>
      <c r="H46" s="217">
        <f t="shared" si="5"/>
        <v>2506</v>
      </c>
      <c r="I46" s="217">
        <f t="shared" si="5"/>
        <v>2892</v>
      </c>
      <c r="J46" s="217">
        <f t="shared" si="5"/>
        <v>6325</v>
      </c>
      <c r="K46" s="217">
        <f t="shared" si="5"/>
        <v>5833</v>
      </c>
      <c r="L46" s="217">
        <f t="shared" si="5"/>
        <v>5593</v>
      </c>
      <c r="M46" s="218">
        <f t="shared" si="5"/>
        <v>1708</v>
      </c>
      <c r="N46" s="218">
        <f>+N48+N50+N52+N54</f>
        <v>885</v>
      </c>
      <c r="O46" s="217">
        <f t="shared" si="5"/>
        <v>479</v>
      </c>
      <c r="P46" s="219">
        <f t="shared" si="5"/>
        <v>214</v>
      </c>
    </row>
    <row r="47" spans="2:16">
      <c r="B47" s="220"/>
      <c r="C47" s="524" t="s">
        <v>8</v>
      </c>
      <c r="D47" s="580">
        <f>+F47+F48</f>
        <v>15352</v>
      </c>
      <c r="E47" s="221" t="s">
        <v>187</v>
      </c>
      <c r="F47" s="222">
        <f t="shared" si="0"/>
        <v>8456</v>
      </c>
      <c r="G47" s="223">
        <v>203</v>
      </c>
      <c r="H47" s="224">
        <v>664</v>
      </c>
      <c r="I47" s="224">
        <v>702</v>
      </c>
      <c r="J47" s="224">
        <v>1445</v>
      </c>
      <c r="K47" s="224">
        <v>1514</v>
      </c>
      <c r="L47" s="224">
        <v>1694</v>
      </c>
      <c r="M47" s="225">
        <v>680</v>
      </c>
      <c r="N47" s="225">
        <v>529</v>
      </c>
      <c r="O47" s="224">
        <v>515</v>
      </c>
      <c r="P47" s="226">
        <v>510</v>
      </c>
    </row>
    <row r="48" spans="2:16">
      <c r="B48" s="220"/>
      <c r="C48" s="524"/>
      <c r="D48" s="580"/>
      <c r="E48" s="227" t="s">
        <v>188</v>
      </c>
      <c r="F48" s="228">
        <f t="shared" si="0"/>
        <v>6896</v>
      </c>
      <c r="G48" s="229">
        <v>154</v>
      </c>
      <c r="H48" s="230">
        <v>612</v>
      </c>
      <c r="I48" s="230">
        <v>676</v>
      </c>
      <c r="J48" s="230">
        <v>1449</v>
      </c>
      <c r="K48" s="230">
        <v>1473</v>
      </c>
      <c r="L48" s="230">
        <v>1460</v>
      </c>
      <c r="M48" s="231">
        <v>487</v>
      </c>
      <c r="N48" s="231">
        <v>313</v>
      </c>
      <c r="O48" s="230">
        <v>185</v>
      </c>
      <c r="P48" s="232">
        <v>87</v>
      </c>
    </row>
    <row r="49" spans="2:16">
      <c r="B49" s="220"/>
      <c r="C49" s="524" t="s">
        <v>11</v>
      </c>
      <c r="D49" s="580">
        <f>+F49+F50</f>
        <v>20843</v>
      </c>
      <c r="E49" s="221" t="s">
        <v>187</v>
      </c>
      <c r="F49" s="222">
        <f t="shared" si="0"/>
        <v>11573</v>
      </c>
      <c r="G49" s="223">
        <v>246</v>
      </c>
      <c r="H49" s="224">
        <v>926</v>
      </c>
      <c r="I49" s="224">
        <v>970</v>
      </c>
      <c r="J49" s="224">
        <v>2248</v>
      </c>
      <c r="K49" s="224">
        <v>2094</v>
      </c>
      <c r="L49" s="224">
        <v>2259</v>
      </c>
      <c r="M49" s="225">
        <v>926</v>
      </c>
      <c r="N49" s="225">
        <v>667</v>
      </c>
      <c r="O49" s="224">
        <v>637</v>
      </c>
      <c r="P49" s="226">
        <v>600</v>
      </c>
    </row>
    <row r="50" spans="2:16">
      <c r="B50" s="220"/>
      <c r="C50" s="524"/>
      <c r="D50" s="580"/>
      <c r="E50" s="227" t="s">
        <v>188</v>
      </c>
      <c r="F50" s="228">
        <f t="shared" si="0"/>
        <v>9270</v>
      </c>
      <c r="G50" s="229">
        <v>216</v>
      </c>
      <c r="H50" s="230">
        <v>871</v>
      </c>
      <c r="I50" s="230">
        <v>987</v>
      </c>
      <c r="J50" s="230">
        <v>2234</v>
      </c>
      <c r="K50" s="230">
        <v>2112</v>
      </c>
      <c r="L50" s="230">
        <v>1851</v>
      </c>
      <c r="M50" s="231">
        <v>568</v>
      </c>
      <c r="N50" s="231">
        <v>251</v>
      </c>
      <c r="O50" s="230">
        <v>127</v>
      </c>
      <c r="P50" s="232">
        <v>53</v>
      </c>
    </row>
    <row r="51" spans="2:16">
      <c r="B51" s="220"/>
      <c r="C51" s="524" t="s">
        <v>12</v>
      </c>
      <c r="D51" s="580">
        <f>+F51+F52</f>
        <v>15482</v>
      </c>
      <c r="E51" s="221" t="s">
        <v>187</v>
      </c>
      <c r="F51" s="222">
        <f t="shared" si="0"/>
        <v>8609</v>
      </c>
      <c r="G51" s="223">
        <v>183</v>
      </c>
      <c r="H51" s="224">
        <v>653</v>
      </c>
      <c r="I51" s="224">
        <v>806</v>
      </c>
      <c r="J51" s="224">
        <v>1700</v>
      </c>
      <c r="K51" s="224">
        <v>1514</v>
      </c>
      <c r="L51" s="224">
        <v>1653</v>
      </c>
      <c r="M51" s="225">
        <v>711</v>
      </c>
      <c r="N51" s="225">
        <v>541</v>
      </c>
      <c r="O51" s="224">
        <v>440</v>
      </c>
      <c r="P51" s="226">
        <v>408</v>
      </c>
    </row>
    <row r="52" spans="2:16">
      <c r="B52" s="220"/>
      <c r="C52" s="524"/>
      <c r="D52" s="580"/>
      <c r="E52" s="227" t="s">
        <v>188</v>
      </c>
      <c r="F52" s="228">
        <f t="shared" si="0"/>
        <v>6873</v>
      </c>
      <c r="G52" s="229">
        <v>120</v>
      </c>
      <c r="H52" s="230">
        <v>632</v>
      </c>
      <c r="I52" s="230">
        <v>807</v>
      </c>
      <c r="J52" s="230">
        <v>1747</v>
      </c>
      <c r="K52" s="230">
        <v>1418</v>
      </c>
      <c r="L52" s="230">
        <v>1434</v>
      </c>
      <c r="M52" s="231">
        <v>402</v>
      </c>
      <c r="N52" s="231">
        <v>183</v>
      </c>
      <c r="O52" s="230">
        <v>94</v>
      </c>
      <c r="P52" s="232">
        <v>36</v>
      </c>
    </row>
    <row r="53" spans="2:16">
      <c r="B53" s="220"/>
      <c r="C53" s="524" t="s">
        <v>34</v>
      </c>
      <c r="D53" s="580">
        <f>+F53+F54</f>
        <v>8674</v>
      </c>
      <c r="E53" s="221" t="s">
        <v>187</v>
      </c>
      <c r="F53" s="222">
        <f t="shared" si="0"/>
        <v>4694</v>
      </c>
      <c r="G53" s="223">
        <v>95</v>
      </c>
      <c r="H53" s="224">
        <v>343</v>
      </c>
      <c r="I53" s="224">
        <v>368</v>
      </c>
      <c r="J53" s="224">
        <v>862</v>
      </c>
      <c r="K53" s="224">
        <v>800</v>
      </c>
      <c r="L53" s="224">
        <v>964</v>
      </c>
      <c r="M53" s="225">
        <v>357</v>
      </c>
      <c r="N53" s="225">
        <v>274</v>
      </c>
      <c r="O53" s="224">
        <v>280</v>
      </c>
      <c r="P53" s="226">
        <v>351</v>
      </c>
    </row>
    <row r="54" spans="2:16">
      <c r="B54" s="233"/>
      <c r="C54" s="524"/>
      <c r="D54" s="580"/>
      <c r="E54" s="227" t="s">
        <v>188</v>
      </c>
      <c r="F54" s="234">
        <f t="shared" si="0"/>
        <v>3980</v>
      </c>
      <c r="G54" s="235">
        <v>94</v>
      </c>
      <c r="H54" s="236">
        <v>391</v>
      </c>
      <c r="I54" s="236">
        <v>422</v>
      </c>
      <c r="J54" s="236">
        <v>895</v>
      </c>
      <c r="K54" s="236">
        <v>830</v>
      </c>
      <c r="L54" s="236">
        <v>848</v>
      </c>
      <c r="M54" s="237">
        <v>251</v>
      </c>
      <c r="N54" s="237">
        <v>138</v>
      </c>
      <c r="O54" s="236">
        <v>73</v>
      </c>
      <c r="P54" s="238">
        <v>38</v>
      </c>
    </row>
    <row r="55" spans="2:16">
      <c r="B55" s="571" t="s">
        <v>40</v>
      </c>
      <c r="C55" s="577"/>
      <c r="D55" s="580">
        <f>+F55+F56</f>
        <v>60916</v>
      </c>
      <c r="E55" s="209" t="s">
        <v>187</v>
      </c>
      <c r="F55" s="210">
        <f t="shared" si="0"/>
        <v>33500</v>
      </c>
      <c r="G55" s="211">
        <f t="shared" ref="G55:P56" si="6">+G57+G59+G61+G63</f>
        <v>665</v>
      </c>
      <c r="H55" s="211">
        <f t="shared" si="6"/>
        <v>2561</v>
      </c>
      <c r="I55" s="211">
        <f t="shared" si="6"/>
        <v>2687</v>
      </c>
      <c r="J55" s="211">
        <f t="shared" si="6"/>
        <v>6317</v>
      </c>
      <c r="K55" s="211">
        <f t="shared" si="6"/>
        <v>5929</v>
      </c>
      <c r="L55" s="211">
        <f t="shared" si="6"/>
        <v>6793</v>
      </c>
      <c r="M55" s="212">
        <f t="shared" si="6"/>
        <v>2599</v>
      </c>
      <c r="N55" s="212">
        <f>+N57+N59+N61+N63</f>
        <v>2058</v>
      </c>
      <c r="O55" s="211">
        <f t="shared" si="6"/>
        <v>1854</v>
      </c>
      <c r="P55" s="213">
        <f t="shared" si="6"/>
        <v>2037</v>
      </c>
    </row>
    <row r="56" spans="2:16">
      <c r="B56" s="581"/>
      <c r="C56" s="582"/>
      <c r="D56" s="580"/>
      <c r="E56" s="214" t="s">
        <v>188</v>
      </c>
      <c r="F56" s="215">
        <f t="shared" si="0"/>
        <v>27416</v>
      </c>
      <c r="G56" s="216">
        <f t="shared" si="6"/>
        <v>530</v>
      </c>
      <c r="H56" s="217">
        <f t="shared" si="6"/>
        <v>2446</v>
      </c>
      <c r="I56" s="217">
        <f t="shared" si="6"/>
        <v>2812</v>
      </c>
      <c r="J56" s="217">
        <f t="shared" si="6"/>
        <v>6342</v>
      </c>
      <c r="K56" s="217">
        <f t="shared" si="6"/>
        <v>5910</v>
      </c>
      <c r="L56" s="217">
        <f t="shared" si="6"/>
        <v>5875</v>
      </c>
      <c r="M56" s="218">
        <f t="shared" si="6"/>
        <v>1731</v>
      </c>
      <c r="N56" s="218">
        <f>+N58+N60+N62+N64</f>
        <v>956</v>
      </c>
      <c r="O56" s="217">
        <f t="shared" si="6"/>
        <v>555</v>
      </c>
      <c r="P56" s="219">
        <f t="shared" si="6"/>
        <v>259</v>
      </c>
    </row>
    <row r="57" spans="2:16">
      <c r="B57" s="220"/>
      <c r="C57" s="524" t="s">
        <v>8</v>
      </c>
      <c r="D57" s="580">
        <f>+F57+F58</f>
        <v>15427</v>
      </c>
      <c r="E57" s="221" t="s">
        <v>187</v>
      </c>
      <c r="F57" s="222">
        <f t="shared" si="0"/>
        <v>8466</v>
      </c>
      <c r="G57" s="223">
        <v>183</v>
      </c>
      <c r="H57" s="224">
        <v>654</v>
      </c>
      <c r="I57" s="224">
        <v>682</v>
      </c>
      <c r="J57" s="224">
        <v>1444</v>
      </c>
      <c r="K57" s="224">
        <v>1469</v>
      </c>
      <c r="L57" s="224">
        <v>1788</v>
      </c>
      <c r="M57" s="225">
        <v>652</v>
      </c>
      <c r="N57" s="225">
        <v>520</v>
      </c>
      <c r="O57" s="224">
        <v>512</v>
      </c>
      <c r="P57" s="226">
        <v>562</v>
      </c>
    </row>
    <row r="58" spans="2:16">
      <c r="B58" s="220"/>
      <c r="C58" s="524"/>
      <c r="D58" s="580"/>
      <c r="E58" s="227" t="s">
        <v>188</v>
      </c>
      <c r="F58" s="228">
        <f t="shared" si="0"/>
        <v>6961</v>
      </c>
      <c r="G58" s="229">
        <v>134</v>
      </c>
      <c r="H58" s="230">
        <v>616</v>
      </c>
      <c r="I58" s="230">
        <v>657</v>
      </c>
      <c r="J58" s="230">
        <v>1428</v>
      </c>
      <c r="K58" s="230">
        <v>1481</v>
      </c>
      <c r="L58" s="230">
        <v>1524</v>
      </c>
      <c r="M58" s="231">
        <v>484</v>
      </c>
      <c r="N58" s="231">
        <v>325</v>
      </c>
      <c r="O58" s="230">
        <v>208</v>
      </c>
      <c r="P58" s="232">
        <v>104</v>
      </c>
    </row>
    <row r="59" spans="2:16">
      <c r="B59" s="220"/>
      <c r="C59" s="524" t="s">
        <v>11</v>
      </c>
      <c r="D59" s="580">
        <f>+F59+F60</f>
        <v>21071</v>
      </c>
      <c r="E59" s="221" t="s">
        <v>187</v>
      </c>
      <c r="F59" s="222">
        <f t="shared" si="0"/>
        <v>11654</v>
      </c>
      <c r="G59" s="223">
        <v>228</v>
      </c>
      <c r="H59" s="224">
        <v>923</v>
      </c>
      <c r="I59" s="224">
        <v>941</v>
      </c>
      <c r="J59" s="224">
        <v>2253</v>
      </c>
      <c r="K59" s="224">
        <v>2097</v>
      </c>
      <c r="L59" s="224">
        <v>2320</v>
      </c>
      <c r="M59" s="225">
        <v>909</v>
      </c>
      <c r="N59" s="225">
        <v>696</v>
      </c>
      <c r="O59" s="224">
        <v>630</v>
      </c>
      <c r="P59" s="226">
        <v>657</v>
      </c>
    </row>
    <row r="60" spans="2:16">
      <c r="B60" s="220"/>
      <c r="C60" s="524"/>
      <c r="D60" s="580"/>
      <c r="E60" s="227" t="s">
        <v>188</v>
      </c>
      <c r="F60" s="228">
        <f t="shared" si="0"/>
        <v>9417</v>
      </c>
      <c r="G60" s="229">
        <v>177</v>
      </c>
      <c r="H60" s="230">
        <v>873</v>
      </c>
      <c r="I60" s="230">
        <v>951</v>
      </c>
      <c r="J60" s="230">
        <v>2231</v>
      </c>
      <c r="K60" s="230">
        <v>2151</v>
      </c>
      <c r="L60" s="230">
        <v>1967</v>
      </c>
      <c r="M60" s="231">
        <v>569</v>
      </c>
      <c r="N60" s="231">
        <v>281</v>
      </c>
      <c r="O60" s="230">
        <v>153</v>
      </c>
      <c r="P60" s="232">
        <v>64</v>
      </c>
    </row>
    <row r="61" spans="2:16">
      <c r="B61" s="220"/>
      <c r="C61" s="524" t="s">
        <v>12</v>
      </c>
      <c r="D61" s="580">
        <f>+F61+F62</f>
        <v>15676</v>
      </c>
      <c r="E61" s="221" t="s">
        <v>187</v>
      </c>
      <c r="F61" s="222">
        <f t="shared" si="0"/>
        <v>8677</v>
      </c>
      <c r="G61" s="223">
        <v>156</v>
      </c>
      <c r="H61" s="224">
        <v>654</v>
      </c>
      <c r="I61" s="224">
        <v>723</v>
      </c>
      <c r="J61" s="224">
        <v>1762</v>
      </c>
      <c r="K61" s="224">
        <v>1541</v>
      </c>
      <c r="L61" s="224">
        <v>1691</v>
      </c>
      <c r="M61" s="225">
        <v>690</v>
      </c>
      <c r="N61" s="225">
        <v>554</v>
      </c>
      <c r="O61" s="224">
        <v>461</v>
      </c>
      <c r="P61" s="226">
        <v>445</v>
      </c>
    </row>
    <row r="62" spans="2:16">
      <c r="B62" s="220"/>
      <c r="C62" s="524"/>
      <c r="D62" s="580"/>
      <c r="E62" s="227" t="s">
        <v>188</v>
      </c>
      <c r="F62" s="228">
        <f t="shared" si="0"/>
        <v>6999</v>
      </c>
      <c r="G62" s="229">
        <v>133</v>
      </c>
      <c r="H62" s="230">
        <v>582</v>
      </c>
      <c r="I62" s="230">
        <v>788</v>
      </c>
      <c r="J62" s="230">
        <v>1782</v>
      </c>
      <c r="K62" s="230">
        <v>1430</v>
      </c>
      <c r="L62" s="230">
        <v>1503</v>
      </c>
      <c r="M62" s="231">
        <v>429</v>
      </c>
      <c r="N62" s="231">
        <v>201</v>
      </c>
      <c r="O62" s="230">
        <v>102</v>
      </c>
      <c r="P62" s="232">
        <v>49</v>
      </c>
    </row>
    <row r="63" spans="2:16">
      <c r="B63" s="220"/>
      <c r="C63" s="524" t="s">
        <v>34</v>
      </c>
      <c r="D63" s="580">
        <f>+F63+F64</f>
        <v>8742</v>
      </c>
      <c r="E63" s="221" t="s">
        <v>187</v>
      </c>
      <c r="F63" s="222">
        <f t="shared" si="0"/>
        <v>4703</v>
      </c>
      <c r="G63" s="223">
        <v>98</v>
      </c>
      <c r="H63" s="224">
        <v>330</v>
      </c>
      <c r="I63" s="224">
        <v>341</v>
      </c>
      <c r="J63" s="224">
        <v>858</v>
      </c>
      <c r="K63" s="224">
        <v>822</v>
      </c>
      <c r="L63" s="224">
        <v>994</v>
      </c>
      <c r="M63" s="225">
        <v>348</v>
      </c>
      <c r="N63" s="225">
        <v>288</v>
      </c>
      <c r="O63" s="224">
        <v>251</v>
      </c>
      <c r="P63" s="226">
        <v>373</v>
      </c>
    </row>
    <row r="64" spans="2:16">
      <c r="B64" s="233"/>
      <c r="C64" s="524"/>
      <c r="D64" s="580"/>
      <c r="E64" s="227" t="s">
        <v>188</v>
      </c>
      <c r="F64" s="234">
        <f t="shared" si="0"/>
        <v>4039</v>
      </c>
      <c r="G64" s="235">
        <v>86</v>
      </c>
      <c r="H64" s="236">
        <v>375</v>
      </c>
      <c r="I64" s="236">
        <v>416</v>
      </c>
      <c r="J64" s="236">
        <v>901</v>
      </c>
      <c r="K64" s="236">
        <v>848</v>
      </c>
      <c r="L64" s="236">
        <v>881</v>
      </c>
      <c r="M64" s="237">
        <v>249</v>
      </c>
      <c r="N64" s="237">
        <v>149</v>
      </c>
      <c r="O64" s="236">
        <v>92</v>
      </c>
      <c r="P64" s="238">
        <v>42</v>
      </c>
    </row>
    <row r="65" spans="2:16">
      <c r="B65" s="571" t="s">
        <v>41</v>
      </c>
      <c r="C65" s="577"/>
      <c r="D65" s="580">
        <f>+F65+F66</f>
        <v>61479</v>
      </c>
      <c r="E65" s="209" t="s">
        <v>187</v>
      </c>
      <c r="F65" s="210">
        <f t="shared" si="0"/>
        <v>33673</v>
      </c>
      <c r="G65" s="211">
        <v>634</v>
      </c>
      <c r="H65" s="211">
        <v>2530</v>
      </c>
      <c r="I65" s="211">
        <v>2583</v>
      </c>
      <c r="J65" s="211">
        <v>6532</v>
      </c>
      <c r="K65" s="211">
        <v>5790</v>
      </c>
      <c r="L65" s="211">
        <v>6928</v>
      </c>
      <c r="M65" s="212">
        <v>2504</v>
      </c>
      <c r="N65" s="212">
        <v>2154</v>
      </c>
      <c r="O65" s="211">
        <v>1841</v>
      </c>
      <c r="P65" s="213">
        <v>2177</v>
      </c>
    </row>
    <row r="66" spans="2:16">
      <c r="B66" s="578"/>
      <c r="C66" s="579"/>
      <c r="D66" s="580"/>
      <c r="E66" s="214" t="s">
        <v>188</v>
      </c>
      <c r="F66" s="215">
        <f t="shared" si="0"/>
        <v>27806</v>
      </c>
      <c r="G66" s="216">
        <v>514</v>
      </c>
      <c r="H66" s="217">
        <v>2479</v>
      </c>
      <c r="I66" s="217">
        <v>2629</v>
      </c>
      <c r="J66" s="217">
        <v>6555</v>
      </c>
      <c r="K66" s="217">
        <v>5805</v>
      </c>
      <c r="L66" s="217">
        <v>6030</v>
      </c>
      <c r="M66" s="218">
        <v>1776</v>
      </c>
      <c r="N66" s="218">
        <v>1071</v>
      </c>
      <c r="O66" s="217">
        <v>636</v>
      </c>
      <c r="P66" s="219">
        <v>311</v>
      </c>
    </row>
    <row r="67" spans="2:16">
      <c r="B67" s="571" t="s">
        <v>42</v>
      </c>
      <c r="C67" s="577"/>
      <c r="D67" s="580">
        <f>+F67+F68</f>
        <v>62070</v>
      </c>
      <c r="E67" s="209" t="s">
        <v>187</v>
      </c>
      <c r="F67" s="210">
        <f t="shared" si="0"/>
        <v>33891</v>
      </c>
      <c r="G67" s="211">
        <v>621</v>
      </c>
      <c r="H67" s="211">
        <v>2508</v>
      </c>
      <c r="I67" s="211">
        <v>2540</v>
      </c>
      <c r="J67" s="211">
        <v>6517</v>
      </c>
      <c r="K67" s="211">
        <v>5812</v>
      </c>
      <c r="L67" s="211">
        <v>6659</v>
      </c>
      <c r="M67" s="212">
        <v>2733</v>
      </c>
      <c r="N67" s="212">
        <v>2247</v>
      </c>
      <c r="O67" s="211">
        <v>1901</v>
      </c>
      <c r="P67" s="213">
        <v>2353</v>
      </c>
    </row>
    <row r="68" spans="2:16">
      <c r="B68" s="578"/>
      <c r="C68" s="579"/>
      <c r="D68" s="580"/>
      <c r="E68" s="214" t="s">
        <v>188</v>
      </c>
      <c r="F68" s="215">
        <f t="shared" si="0"/>
        <v>28179</v>
      </c>
      <c r="G68" s="216">
        <v>511</v>
      </c>
      <c r="H68" s="217">
        <v>2425</v>
      </c>
      <c r="I68" s="217">
        <v>2561</v>
      </c>
      <c r="J68" s="217">
        <v>6409</v>
      </c>
      <c r="K68" s="217">
        <v>5943</v>
      </c>
      <c r="L68" s="217">
        <v>5989</v>
      </c>
      <c r="M68" s="218">
        <v>2040</v>
      </c>
      <c r="N68" s="218">
        <v>1220</v>
      </c>
      <c r="O68" s="217">
        <v>703</v>
      </c>
      <c r="P68" s="219">
        <v>378</v>
      </c>
    </row>
    <row r="69" spans="2:16">
      <c r="B69" s="571" t="s">
        <v>43</v>
      </c>
      <c r="C69" s="577"/>
      <c r="D69" s="580">
        <f>+F69+F70</f>
        <v>62466</v>
      </c>
      <c r="E69" s="209" t="s">
        <v>187</v>
      </c>
      <c r="F69" s="210">
        <f t="shared" ref="F69:F82" si="7">SUM(G69:P69)</f>
        <v>34017</v>
      </c>
      <c r="G69" s="211">
        <v>589</v>
      </c>
      <c r="H69" s="211">
        <v>2486</v>
      </c>
      <c r="I69" s="211">
        <v>2505</v>
      </c>
      <c r="J69" s="211">
        <v>6465</v>
      </c>
      <c r="K69" s="211">
        <v>5791</v>
      </c>
      <c r="L69" s="211">
        <v>6450</v>
      </c>
      <c r="M69" s="212">
        <v>2966</v>
      </c>
      <c r="N69" s="212">
        <v>2435</v>
      </c>
      <c r="O69" s="211">
        <v>1874</v>
      </c>
      <c r="P69" s="213">
        <v>2456</v>
      </c>
    </row>
    <row r="70" spans="2:16">
      <c r="B70" s="578"/>
      <c r="C70" s="579"/>
      <c r="D70" s="580"/>
      <c r="E70" s="214" t="s">
        <v>188</v>
      </c>
      <c r="F70" s="215">
        <f t="shared" si="7"/>
        <v>28449</v>
      </c>
      <c r="G70" s="216">
        <v>513</v>
      </c>
      <c r="H70" s="217">
        <v>2345</v>
      </c>
      <c r="I70" s="217">
        <v>2447</v>
      </c>
      <c r="J70" s="217">
        <v>6356</v>
      </c>
      <c r="K70" s="217">
        <v>5946</v>
      </c>
      <c r="L70" s="217">
        <v>5928</v>
      </c>
      <c r="M70" s="218">
        <v>2295</v>
      </c>
      <c r="N70" s="218">
        <v>1432</v>
      </c>
      <c r="O70" s="217">
        <v>748</v>
      </c>
      <c r="P70" s="219">
        <v>439</v>
      </c>
    </row>
    <row r="71" spans="2:16">
      <c r="B71" s="571" t="s">
        <v>44</v>
      </c>
      <c r="C71" s="577"/>
      <c r="D71" s="580">
        <f>+F71+F72</f>
        <v>62695</v>
      </c>
      <c r="E71" s="209" t="s">
        <v>187</v>
      </c>
      <c r="F71" s="210">
        <f t="shared" si="7"/>
        <v>33983</v>
      </c>
      <c r="G71" s="211">
        <v>530</v>
      </c>
      <c r="H71" s="211">
        <v>2427</v>
      </c>
      <c r="I71" s="211">
        <v>2522</v>
      </c>
      <c r="J71" s="211">
        <v>6338</v>
      </c>
      <c r="K71" s="211">
        <v>5816</v>
      </c>
      <c r="L71" s="211">
        <v>6156</v>
      </c>
      <c r="M71" s="212">
        <v>3232</v>
      </c>
      <c r="N71" s="212">
        <v>2576</v>
      </c>
      <c r="O71" s="211">
        <v>1854</v>
      </c>
      <c r="P71" s="213">
        <v>2532</v>
      </c>
    </row>
    <row r="72" spans="2:16">
      <c r="B72" s="578"/>
      <c r="C72" s="579"/>
      <c r="D72" s="580"/>
      <c r="E72" s="214" t="s">
        <v>188</v>
      </c>
      <c r="F72" s="215">
        <f t="shared" si="7"/>
        <v>28712</v>
      </c>
      <c r="G72" s="216">
        <v>479</v>
      </c>
      <c r="H72" s="217">
        <v>2298</v>
      </c>
      <c r="I72" s="217">
        <v>2388</v>
      </c>
      <c r="J72" s="217">
        <v>6234</v>
      </c>
      <c r="K72" s="217">
        <v>5985</v>
      </c>
      <c r="L72" s="217">
        <v>5775</v>
      </c>
      <c r="M72" s="218">
        <v>2598</v>
      </c>
      <c r="N72" s="218">
        <v>1660</v>
      </c>
      <c r="O72" s="217">
        <v>799</v>
      </c>
      <c r="P72" s="219">
        <v>496</v>
      </c>
    </row>
    <row r="73" spans="2:16">
      <c r="B73" s="571" t="s">
        <v>45</v>
      </c>
      <c r="C73" s="577"/>
      <c r="D73" s="580">
        <f>+F73+F74</f>
        <v>62960</v>
      </c>
      <c r="E73" s="209" t="s">
        <v>187</v>
      </c>
      <c r="F73" s="210">
        <f t="shared" si="7"/>
        <v>33931</v>
      </c>
      <c r="G73" s="211">
        <v>519</v>
      </c>
      <c r="H73" s="211">
        <v>2346</v>
      </c>
      <c r="I73" s="211">
        <v>2482</v>
      </c>
      <c r="J73" s="211">
        <v>6215</v>
      </c>
      <c r="K73" s="211">
        <v>5847</v>
      </c>
      <c r="L73" s="211">
        <v>6018</v>
      </c>
      <c r="M73" s="212">
        <v>3504</v>
      </c>
      <c r="N73" s="212">
        <v>2494</v>
      </c>
      <c r="O73" s="211">
        <v>1890</v>
      </c>
      <c r="P73" s="213">
        <v>2616</v>
      </c>
    </row>
    <row r="74" spans="2:16">
      <c r="B74" s="578"/>
      <c r="C74" s="579"/>
      <c r="D74" s="580"/>
      <c r="E74" s="214" t="s">
        <v>188</v>
      </c>
      <c r="F74" s="215">
        <f t="shared" si="7"/>
        <v>29029</v>
      </c>
      <c r="G74" s="216">
        <v>495</v>
      </c>
      <c r="H74" s="217">
        <v>2243</v>
      </c>
      <c r="I74" s="217">
        <v>2360</v>
      </c>
      <c r="J74" s="217">
        <v>6108</v>
      </c>
      <c r="K74" s="217">
        <v>6036</v>
      </c>
      <c r="L74" s="217">
        <v>5728</v>
      </c>
      <c r="M74" s="218">
        <v>2932</v>
      </c>
      <c r="N74" s="218">
        <v>1672</v>
      </c>
      <c r="O74" s="217">
        <v>870</v>
      </c>
      <c r="P74" s="219">
        <v>585</v>
      </c>
    </row>
    <row r="75" spans="2:16">
      <c r="B75" s="571" t="s">
        <v>46</v>
      </c>
      <c r="C75" s="577"/>
      <c r="D75" s="580">
        <f>+F75+F76</f>
        <v>63298</v>
      </c>
      <c r="E75" s="209" t="s">
        <v>187</v>
      </c>
      <c r="F75" s="210">
        <f t="shared" si="7"/>
        <v>34021</v>
      </c>
      <c r="G75" s="211">
        <v>560</v>
      </c>
      <c r="H75" s="211">
        <v>2271</v>
      </c>
      <c r="I75" s="211">
        <v>2493</v>
      </c>
      <c r="J75" s="211">
        <v>6058</v>
      </c>
      <c r="K75" s="211">
        <v>5987</v>
      </c>
      <c r="L75" s="211">
        <v>5863</v>
      </c>
      <c r="M75" s="212">
        <v>3705</v>
      </c>
      <c r="N75" s="212">
        <v>2414</v>
      </c>
      <c r="O75" s="211">
        <v>1975</v>
      </c>
      <c r="P75" s="213">
        <v>2695</v>
      </c>
    </row>
    <row r="76" spans="2:16">
      <c r="B76" s="578"/>
      <c r="C76" s="579"/>
      <c r="D76" s="580"/>
      <c r="E76" s="214" t="s">
        <v>188</v>
      </c>
      <c r="F76" s="215">
        <f t="shared" si="7"/>
        <v>29277</v>
      </c>
      <c r="G76" s="216">
        <v>445</v>
      </c>
      <c r="H76" s="217">
        <v>2231</v>
      </c>
      <c r="I76" s="217">
        <v>2363</v>
      </c>
      <c r="J76" s="217">
        <v>5899</v>
      </c>
      <c r="K76" s="217">
        <v>6112</v>
      </c>
      <c r="L76" s="217">
        <v>5660</v>
      </c>
      <c r="M76" s="218">
        <v>3180</v>
      </c>
      <c r="N76" s="218">
        <v>1725</v>
      </c>
      <c r="O76" s="217">
        <v>975</v>
      </c>
      <c r="P76" s="219">
        <v>687</v>
      </c>
    </row>
    <row r="77" spans="2:16">
      <c r="B77" s="571" t="s">
        <v>47</v>
      </c>
      <c r="C77" s="577"/>
      <c r="D77" s="580">
        <f>+F77+F78</f>
        <v>63695</v>
      </c>
      <c r="E77" s="209" t="s">
        <v>187</v>
      </c>
      <c r="F77" s="210">
        <f t="shared" si="7"/>
        <v>34111</v>
      </c>
      <c r="G77" s="211">
        <v>542</v>
      </c>
      <c r="H77" s="211">
        <v>2271</v>
      </c>
      <c r="I77" s="211">
        <v>2482</v>
      </c>
      <c r="J77" s="211">
        <v>5849</v>
      </c>
      <c r="K77" s="211">
        <v>6120</v>
      </c>
      <c r="L77" s="211">
        <v>5753</v>
      </c>
      <c r="M77" s="212">
        <v>3558</v>
      </c>
      <c r="N77" s="212">
        <v>2615</v>
      </c>
      <c r="O77" s="211">
        <v>2068</v>
      </c>
      <c r="P77" s="213">
        <v>2853</v>
      </c>
    </row>
    <row r="78" spans="2:16">
      <c r="B78" s="578"/>
      <c r="C78" s="579"/>
      <c r="D78" s="580"/>
      <c r="E78" s="214" t="s">
        <v>188</v>
      </c>
      <c r="F78" s="215">
        <f t="shared" si="7"/>
        <v>29584</v>
      </c>
      <c r="G78" s="216">
        <v>475</v>
      </c>
      <c r="H78" s="217">
        <v>2166</v>
      </c>
      <c r="I78" s="217">
        <v>2321</v>
      </c>
      <c r="J78" s="217">
        <v>5702</v>
      </c>
      <c r="K78" s="217">
        <v>6243</v>
      </c>
      <c r="L78" s="217">
        <v>5582</v>
      </c>
      <c r="M78" s="218">
        <v>3207</v>
      </c>
      <c r="N78" s="218">
        <v>1979</v>
      </c>
      <c r="O78" s="217">
        <v>1134</v>
      </c>
      <c r="P78" s="219">
        <v>775</v>
      </c>
    </row>
    <row r="79" spans="2:16">
      <c r="B79" s="571" t="s">
        <v>48</v>
      </c>
      <c r="C79" s="577"/>
      <c r="D79" s="580">
        <f>+F79+F80</f>
        <v>64010</v>
      </c>
      <c r="E79" s="209" t="s">
        <v>187</v>
      </c>
      <c r="F79" s="210">
        <f t="shared" si="7"/>
        <v>34059</v>
      </c>
      <c r="G79" s="211">
        <v>563</v>
      </c>
      <c r="H79" s="211">
        <v>2192</v>
      </c>
      <c r="I79" s="211">
        <v>2409</v>
      </c>
      <c r="J79" s="211">
        <v>5665</v>
      </c>
      <c r="K79" s="211">
        <v>6224</v>
      </c>
      <c r="L79" s="211">
        <v>5690</v>
      </c>
      <c r="M79" s="212">
        <v>3335</v>
      </c>
      <c r="N79" s="212">
        <v>2809</v>
      </c>
      <c r="O79" s="211">
        <v>2247</v>
      </c>
      <c r="P79" s="213">
        <v>2925</v>
      </c>
    </row>
    <row r="80" spans="2:16">
      <c r="B80" s="578"/>
      <c r="C80" s="579"/>
      <c r="D80" s="580"/>
      <c r="E80" s="214" t="s">
        <v>188</v>
      </c>
      <c r="F80" s="215">
        <f t="shared" si="7"/>
        <v>29951</v>
      </c>
      <c r="G80" s="216">
        <v>547</v>
      </c>
      <c r="H80" s="217">
        <v>2154</v>
      </c>
      <c r="I80" s="217">
        <v>2252</v>
      </c>
      <c r="J80" s="217">
        <v>5478</v>
      </c>
      <c r="K80" s="217">
        <v>6340</v>
      </c>
      <c r="L80" s="217">
        <v>5640</v>
      </c>
      <c r="M80" s="218">
        <v>3116</v>
      </c>
      <c r="N80" s="218">
        <v>2236</v>
      </c>
      <c r="O80" s="217">
        <v>1339</v>
      </c>
      <c r="P80" s="219">
        <v>849</v>
      </c>
    </row>
    <row r="81" spans="2:16">
      <c r="B81" s="571" t="s">
        <v>49</v>
      </c>
      <c r="C81" s="572"/>
      <c r="D81" s="575">
        <f>+F81+F82</f>
        <v>64197</v>
      </c>
      <c r="E81" s="209" t="s">
        <v>187</v>
      </c>
      <c r="F81" s="210">
        <f t="shared" si="7"/>
        <v>34082</v>
      </c>
      <c r="G81" s="211">
        <v>541</v>
      </c>
      <c r="H81" s="211">
        <v>2212</v>
      </c>
      <c r="I81" s="211">
        <v>2310</v>
      </c>
      <c r="J81" s="211">
        <v>5476</v>
      </c>
      <c r="K81" s="211">
        <v>6337</v>
      </c>
      <c r="L81" s="211">
        <v>5679</v>
      </c>
      <c r="M81" s="212">
        <v>3122</v>
      </c>
      <c r="N81" s="212">
        <v>3084</v>
      </c>
      <c r="O81" s="211">
        <v>2350</v>
      </c>
      <c r="P81" s="213">
        <v>2971</v>
      </c>
    </row>
    <row r="82" spans="2:16">
      <c r="B82" s="573"/>
      <c r="C82" s="574"/>
      <c r="D82" s="576"/>
      <c r="E82" s="214" t="s">
        <v>188</v>
      </c>
      <c r="F82" s="215">
        <f t="shared" si="7"/>
        <v>30115</v>
      </c>
      <c r="G82" s="216">
        <v>480</v>
      </c>
      <c r="H82" s="217">
        <v>2149</v>
      </c>
      <c r="I82" s="217">
        <v>2190</v>
      </c>
      <c r="J82" s="217">
        <v>5266</v>
      </c>
      <c r="K82" s="217">
        <v>6348</v>
      </c>
      <c r="L82" s="217">
        <v>5707</v>
      </c>
      <c r="M82" s="218">
        <v>2956</v>
      </c>
      <c r="N82" s="218">
        <v>2545</v>
      </c>
      <c r="O82" s="217">
        <v>1545</v>
      </c>
      <c r="P82" s="219">
        <v>929</v>
      </c>
    </row>
    <row r="83" spans="2:16" ht="11.25" customHeight="1">
      <c r="B83" s="571" t="s">
        <v>50</v>
      </c>
      <c r="C83" s="572"/>
      <c r="D83" s="575">
        <f>+F83+F84</f>
        <v>64366</v>
      </c>
      <c r="E83" s="209" t="s">
        <v>187</v>
      </c>
      <c r="F83" s="210">
        <f>SUM(G83:P83)</f>
        <v>34040</v>
      </c>
      <c r="G83" s="211">
        <v>619</v>
      </c>
      <c r="H83" s="211">
        <v>2165</v>
      </c>
      <c r="I83" s="211">
        <v>2277</v>
      </c>
      <c r="J83" s="211">
        <v>5270</v>
      </c>
      <c r="K83" s="211">
        <v>6369</v>
      </c>
      <c r="L83" s="211">
        <v>5670</v>
      </c>
      <c r="M83" s="212">
        <v>3007</v>
      </c>
      <c r="N83" s="212">
        <v>3343</v>
      </c>
      <c r="O83" s="211">
        <v>2279</v>
      </c>
      <c r="P83" s="213">
        <v>3041</v>
      </c>
    </row>
    <row r="84" spans="2:16" ht="11.25" customHeight="1">
      <c r="B84" s="573"/>
      <c r="C84" s="574"/>
      <c r="D84" s="576"/>
      <c r="E84" s="214" t="s">
        <v>188</v>
      </c>
      <c r="F84" s="215">
        <f>SUM(G84:P84)</f>
        <v>30326</v>
      </c>
      <c r="G84" s="216">
        <v>498</v>
      </c>
      <c r="H84" s="217">
        <v>2136</v>
      </c>
      <c r="I84" s="217">
        <v>2086</v>
      </c>
      <c r="J84" s="217">
        <v>5129</v>
      </c>
      <c r="K84" s="217">
        <v>6367</v>
      </c>
      <c r="L84" s="217">
        <v>5775</v>
      </c>
      <c r="M84" s="218">
        <v>2860</v>
      </c>
      <c r="N84" s="218">
        <v>2854</v>
      </c>
      <c r="O84" s="217">
        <v>1550</v>
      </c>
      <c r="P84" s="219">
        <v>1071</v>
      </c>
    </row>
    <row r="85" spans="2:16" ht="15" customHeight="1">
      <c r="P85" s="186" t="s">
        <v>189</v>
      </c>
    </row>
    <row r="86" spans="2:16" ht="15" customHeight="1"/>
  </sheetData>
  <mergeCells count="85">
    <mergeCell ref="F3:F4"/>
    <mergeCell ref="G3:P3"/>
    <mergeCell ref="C7:C8"/>
    <mergeCell ref="D7:D8"/>
    <mergeCell ref="C9:C10"/>
    <mergeCell ref="D9:D10"/>
    <mergeCell ref="B5:C6"/>
    <mergeCell ref="D5:D6"/>
    <mergeCell ref="B3:C4"/>
    <mergeCell ref="D3:D4"/>
    <mergeCell ref="E3:E4"/>
    <mergeCell ref="C11:C12"/>
    <mergeCell ref="D11:D12"/>
    <mergeCell ref="C13:C14"/>
    <mergeCell ref="D13:D14"/>
    <mergeCell ref="B15:C16"/>
    <mergeCell ref="D15:D16"/>
    <mergeCell ref="C17:C18"/>
    <mergeCell ref="D17:D18"/>
    <mergeCell ref="C19:C20"/>
    <mergeCell ref="D19:D20"/>
    <mergeCell ref="C21:C22"/>
    <mergeCell ref="D21:D22"/>
    <mergeCell ref="C23:C24"/>
    <mergeCell ref="D23:D24"/>
    <mergeCell ref="B25:C26"/>
    <mergeCell ref="D25:D26"/>
    <mergeCell ref="C27:C28"/>
    <mergeCell ref="D27:D28"/>
    <mergeCell ref="C29:C30"/>
    <mergeCell ref="D29:D30"/>
    <mergeCell ref="C31:C32"/>
    <mergeCell ref="D31:D32"/>
    <mergeCell ref="C33:C34"/>
    <mergeCell ref="D33:D34"/>
    <mergeCell ref="B35:C36"/>
    <mergeCell ref="D35:D36"/>
    <mergeCell ref="C37:C38"/>
    <mergeCell ref="D37:D38"/>
    <mergeCell ref="C39:C40"/>
    <mergeCell ref="D39:D40"/>
    <mergeCell ref="C41:C42"/>
    <mergeCell ref="D41:D42"/>
    <mergeCell ref="C43:C44"/>
    <mergeCell ref="D43:D44"/>
    <mergeCell ref="B45:C46"/>
    <mergeCell ref="D45:D46"/>
    <mergeCell ref="C47:C48"/>
    <mergeCell ref="D47:D48"/>
    <mergeCell ref="C49:C50"/>
    <mergeCell ref="D49:D50"/>
    <mergeCell ref="C51:C52"/>
    <mergeCell ref="D51:D52"/>
    <mergeCell ref="C53:C54"/>
    <mergeCell ref="D53:D54"/>
    <mergeCell ref="B55:C56"/>
    <mergeCell ref="D55:D56"/>
    <mergeCell ref="C57:C58"/>
    <mergeCell ref="D57:D58"/>
    <mergeCell ref="C59:C60"/>
    <mergeCell ref="D59:D60"/>
    <mergeCell ref="C61:C62"/>
    <mergeCell ref="D61:D62"/>
    <mergeCell ref="C63:C64"/>
    <mergeCell ref="D63:D64"/>
    <mergeCell ref="B65:C66"/>
    <mergeCell ref="D65:D66"/>
    <mergeCell ref="B67:C68"/>
    <mergeCell ref="D67:D68"/>
    <mergeCell ref="B69:C70"/>
    <mergeCell ref="D69:D70"/>
    <mergeCell ref="B71:C72"/>
    <mergeCell ref="D71:D72"/>
    <mergeCell ref="B73:C74"/>
    <mergeCell ref="D73:D74"/>
    <mergeCell ref="B75:C76"/>
    <mergeCell ref="D75:D76"/>
    <mergeCell ref="B83:C84"/>
    <mergeCell ref="D83:D84"/>
    <mergeCell ref="B77:C78"/>
    <mergeCell ref="D77:D78"/>
    <mergeCell ref="B79:C80"/>
    <mergeCell ref="D79:D80"/>
    <mergeCell ref="B81:C82"/>
    <mergeCell ref="D81:D82"/>
  </mergeCells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&amp;R15.交通・通信</oddHeader>
    <oddFooter>&amp;C-107-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GridLines="0" zoomScaleNormal="100" workbookViewId="0">
      <selection activeCell="F63" sqref="F63"/>
    </sheetView>
  </sheetViews>
  <sheetFormatPr defaultRowHeight="13.5"/>
  <cols>
    <col min="1" max="2" width="3.625" style="46" customWidth="1"/>
    <col min="3" max="3" width="4.25" style="46" customWidth="1"/>
    <col min="4" max="4" width="5.625" style="46" customWidth="1"/>
    <col min="5" max="5" width="8.625" style="46" customWidth="1"/>
    <col min="6" max="6" width="5.625" style="46" customWidth="1"/>
    <col min="7" max="7" width="8.125" style="46" customWidth="1"/>
    <col min="8" max="8" width="5.125" style="46" customWidth="1"/>
    <col min="9" max="9" width="7.625" style="46" customWidth="1"/>
    <col min="10" max="10" width="5.125" style="46" customWidth="1"/>
    <col min="11" max="11" width="7.625" style="46" customWidth="1"/>
    <col min="12" max="12" width="5.125" style="46" customWidth="1"/>
    <col min="13" max="13" width="7.625" style="46" customWidth="1"/>
    <col min="14" max="14" width="5.125" style="46" customWidth="1"/>
    <col min="15" max="15" width="7.625" style="46" customWidth="1"/>
    <col min="16" max="256" width="9" style="46"/>
    <col min="257" max="258" width="3.625" style="46" customWidth="1"/>
    <col min="259" max="259" width="4.25" style="46" customWidth="1"/>
    <col min="260" max="260" width="5.625" style="46" customWidth="1"/>
    <col min="261" max="261" width="8.625" style="46" customWidth="1"/>
    <col min="262" max="262" width="5.625" style="46" customWidth="1"/>
    <col min="263" max="263" width="8.125" style="46" customWidth="1"/>
    <col min="264" max="264" width="5.125" style="46" customWidth="1"/>
    <col min="265" max="265" width="7.625" style="46" customWidth="1"/>
    <col min="266" max="266" width="5.125" style="46" customWidth="1"/>
    <col min="267" max="267" width="7.625" style="46" customWidth="1"/>
    <col min="268" max="268" width="5.125" style="46" customWidth="1"/>
    <col min="269" max="269" width="7.625" style="46" customWidth="1"/>
    <col min="270" max="270" width="5.125" style="46" customWidth="1"/>
    <col min="271" max="271" width="7.625" style="46" customWidth="1"/>
    <col min="272" max="512" width="9" style="46"/>
    <col min="513" max="514" width="3.625" style="46" customWidth="1"/>
    <col min="515" max="515" width="4.25" style="46" customWidth="1"/>
    <col min="516" max="516" width="5.625" style="46" customWidth="1"/>
    <col min="517" max="517" width="8.625" style="46" customWidth="1"/>
    <col min="518" max="518" width="5.625" style="46" customWidth="1"/>
    <col min="519" max="519" width="8.125" style="46" customWidth="1"/>
    <col min="520" max="520" width="5.125" style="46" customWidth="1"/>
    <col min="521" max="521" width="7.625" style="46" customWidth="1"/>
    <col min="522" max="522" width="5.125" style="46" customWidth="1"/>
    <col min="523" max="523" width="7.625" style="46" customWidth="1"/>
    <col min="524" max="524" width="5.125" style="46" customWidth="1"/>
    <col min="525" max="525" width="7.625" style="46" customWidth="1"/>
    <col min="526" max="526" width="5.125" style="46" customWidth="1"/>
    <col min="527" max="527" width="7.625" style="46" customWidth="1"/>
    <col min="528" max="768" width="9" style="46"/>
    <col min="769" max="770" width="3.625" style="46" customWidth="1"/>
    <col min="771" max="771" width="4.25" style="46" customWidth="1"/>
    <col min="772" max="772" width="5.625" style="46" customWidth="1"/>
    <col min="773" max="773" width="8.625" style="46" customWidth="1"/>
    <col min="774" max="774" width="5.625" style="46" customWidth="1"/>
    <col min="775" max="775" width="8.125" style="46" customWidth="1"/>
    <col min="776" max="776" width="5.125" style="46" customWidth="1"/>
    <col min="777" max="777" width="7.625" style="46" customWidth="1"/>
    <col min="778" max="778" width="5.125" style="46" customWidth="1"/>
    <col min="779" max="779" width="7.625" style="46" customWidth="1"/>
    <col min="780" max="780" width="5.125" style="46" customWidth="1"/>
    <col min="781" max="781" width="7.625" style="46" customWidth="1"/>
    <col min="782" max="782" width="5.125" style="46" customWidth="1"/>
    <col min="783" max="783" width="7.625" style="46" customWidth="1"/>
    <col min="784" max="1024" width="9" style="46"/>
    <col min="1025" max="1026" width="3.625" style="46" customWidth="1"/>
    <col min="1027" max="1027" width="4.25" style="46" customWidth="1"/>
    <col min="1028" max="1028" width="5.625" style="46" customWidth="1"/>
    <col min="1029" max="1029" width="8.625" style="46" customWidth="1"/>
    <col min="1030" max="1030" width="5.625" style="46" customWidth="1"/>
    <col min="1031" max="1031" width="8.125" style="46" customWidth="1"/>
    <col min="1032" max="1032" width="5.125" style="46" customWidth="1"/>
    <col min="1033" max="1033" width="7.625" style="46" customWidth="1"/>
    <col min="1034" max="1034" width="5.125" style="46" customWidth="1"/>
    <col min="1035" max="1035" width="7.625" style="46" customWidth="1"/>
    <col min="1036" max="1036" width="5.125" style="46" customWidth="1"/>
    <col min="1037" max="1037" width="7.625" style="46" customWidth="1"/>
    <col min="1038" max="1038" width="5.125" style="46" customWidth="1"/>
    <col min="1039" max="1039" width="7.625" style="46" customWidth="1"/>
    <col min="1040" max="1280" width="9" style="46"/>
    <col min="1281" max="1282" width="3.625" style="46" customWidth="1"/>
    <col min="1283" max="1283" width="4.25" style="46" customWidth="1"/>
    <col min="1284" max="1284" width="5.625" style="46" customWidth="1"/>
    <col min="1285" max="1285" width="8.625" style="46" customWidth="1"/>
    <col min="1286" max="1286" width="5.625" style="46" customWidth="1"/>
    <col min="1287" max="1287" width="8.125" style="46" customWidth="1"/>
    <col min="1288" max="1288" width="5.125" style="46" customWidth="1"/>
    <col min="1289" max="1289" width="7.625" style="46" customWidth="1"/>
    <col min="1290" max="1290" width="5.125" style="46" customWidth="1"/>
    <col min="1291" max="1291" width="7.625" style="46" customWidth="1"/>
    <col min="1292" max="1292" width="5.125" style="46" customWidth="1"/>
    <col min="1293" max="1293" width="7.625" style="46" customWidth="1"/>
    <col min="1294" max="1294" width="5.125" style="46" customWidth="1"/>
    <col min="1295" max="1295" width="7.625" style="46" customWidth="1"/>
    <col min="1296" max="1536" width="9" style="46"/>
    <col min="1537" max="1538" width="3.625" style="46" customWidth="1"/>
    <col min="1539" max="1539" width="4.25" style="46" customWidth="1"/>
    <col min="1540" max="1540" width="5.625" style="46" customWidth="1"/>
    <col min="1541" max="1541" width="8.625" style="46" customWidth="1"/>
    <col min="1542" max="1542" width="5.625" style="46" customWidth="1"/>
    <col min="1543" max="1543" width="8.125" style="46" customWidth="1"/>
    <col min="1544" max="1544" width="5.125" style="46" customWidth="1"/>
    <col min="1545" max="1545" width="7.625" style="46" customWidth="1"/>
    <col min="1546" max="1546" width="5.125" style="46" customWidth="1"/>
    <col min="1547" max="1547" width="7.625" style="46" customWidth="1"/>
    <col min="1548" max="1548" width="5.125" style="46" customWidth="1"/>
    <col min="1549" max="1549" width="7.625" style="46" customWidth="1"/>
    <col min="1550" max="1550" width="5.125" style="46" customWidth="1"/>
    <col min="1551" max="1551" width="7.625" style="46" customWidth="1"/>
    <col min="1552" max="1792" width="9" style="46"/>
    <col min="1793" max="1794" width="3.625" style="46" customWidth="1"/>
    <col min="1795" max="1795" width="4.25" style="46" customWidth="1"/>
    <col min="1796" max="1796" width="5.625" style="46" customWidth="1"/>
    <col min="1797" max="1797" width="8.625" style="46" customWidth="1"/>
    <col min="1798" max="1798" width="5.625" style="46" customWidth="1"/>
    <col min="1799" max="1799" width="8.125" style="46" customWidth="1"/>
    <col min="1800" max="1800" width="5.125" style="46" customWidth="1"/>
    <col min="1801" max="1801" width="7.625" style="46" customWidth="1"/>
    <col min="1802" max="1802" width="5.125" style="46" customWidth="1"/>
    <col min="1803" max="1803" width="7.625" style="46" customWidth="1"/>
    <col min="1804" max="1804" width="5.125" style="46" customWidth="1"/>
    <col min="1805" max="1805" width="7.625" style="46" customWidth="1"/>
    <col min="1806" max="1806" width="5.125" style="46" customWidth="1"/>
    <col min="1807" max="1807" width="7.625" style="46" customWidth="1"/>
    <col min="1808" max="2048" width="9" style="46"/>
    <col min="2049" max="2050" width="3.625" style="46" customWidth="1"/>
    <col min="2051" max="2051" width="4.25" style="46" customWidth="1"/>
    <col min="2052" max="2052" width="5.625" style="46" customWidth="1"/>
    <col min="2053" max="2053" width="8.625" style="46" customWidth="1"/>
    <col min="2054" max="2054" width="5.625" style="46" customWidth="1"/>
    <col min="2055" max="2055" width="8.125" style="46" customWidth="1"/>
    <col min="2056" max="2056" width="5.125" style="46" customWidth="1"/>
    <col min="2057" max="2057" width="7.625" style="46" customWidth="1"/>
    <col min="2058" max="2058" width="5.125" style="46" customWidth="1"/>
    <col min="2059" max="2059" width="7.625" style="46" customWidth="1"/>
    <col min="2060" max="2060" width="5.125" style="46" customWidth="1"/>
    <col min="2061" max="2061" width="7.625" style="46" customWidth="1"/>
    <col min="2062" max="2062" width="5.125" style="46" customWidth="1"/>
    <col min="2063" max="2063" width="7.625" style="46" customWidth="1"/>
    <col min="2064" max="2304" width="9" style="46"/>
    <col min="2305" max="2306" width="3.625" style="46" customWidth="1"/>
    <col min="2307" max="2307" width="4.25" style="46" customWidth="1"/>
    <col min="2308" max="2308" width="5.625" style="46" customWidth="1"/>
    <col min="2309" max="2309" width="8.625" style="46" customWidth="1"/>
    <col min="2310" max="2310" width="5.625" style="46" customWidth="1"/>
    <col min="2311" max="2311" width="8.125" style="46" customWidth="1"/>
    <col min="2312" max="2312" width="5.125" style="46" customWidth="1"/>
    <col min="2313" max="2313" width="7.625" style="46" customWidth="1"/>
    <col min="2314" max="2314" width="5.125" style="46" customWidth="1"/>
    <col min="2315" max="2315" width="7.625" style="46" customWidth="1"/>
    <col min="2316" max="2316" width="5.125" style="46" customWidth="1"/>
    <col min="2317" max="2317" width="7.625" style="46" customWidth="1"/>
    <col min="2318" max="2318" width="5.125" style="46" customWidth="1"/>
    <col min="2319" max="2319" width="7.625" style="46" customWidth="1"/>
    <col min="2320" max="2560" width="9" style="46"/>
    <col min="2561" max="2562" width="3.625" style="46" customWidth="1"/>
    <col min="2563" max="2563" width="4.25" style="46" customWidth="1"/>
    <col min="2564" max="2564" width="5.625" style="46" customWidth="1"/>
    <col min="2565" max="2565" width="8.625" style="46" customWidth="1"/>
    <col min="2566" max="2566" width="5.625" style="46" customWidth="1"/>
    <col min="2567" max="2567" width="8.125" style="46" customWidth="1"/>
    <col min="2568" max="2568" width="5.125" style="46" customWidth="1"/>
    <col min="2569" max="2569" width="7.625" style="46" customWidth="1"/>
    <col min="2570" max="2570" width="5.125" style="46" customWidth="1"/>
    <col min="2571" max="2571" width="7.625" style="46" customWidth="1"/>
    <col min="2572" max="2572" width="5.125" style="46" customWidth="1"/>
    <col min="2573" max="2573" width="7.625" style="46" customWidth="1"/>
    <col min="2574" max="2574" width="5.125" style="46" customWidth="1"/>
    <col min="2575" max="2575" width="7.625" style="46" customWidth="1"/>
    <col min="2576" max="2816" width="9" style="46"/>
    <col min="2817" max="2818" width="3.625" style="46" customWidth="1"/>
    <col min="2819" max="2819" width="4.25" style="46" customWidth="1"/>
    <col min="2820" max="2820" width="5.625" style="46" customWidth="1"/>
    <col min="2821" max="2821" width="8.625" style="46" customWidth="1"/>
    <col min="2822" max="2822" width="5.625" style="46" customWidth="1"/>
    <col min="2823" max="2823" width="8.125" style="46" customWidth="1"/>
    <col min="2824" max="2824" width="5.125" style="46" customWidth="1"/>
    <col min="2825" max="2825" width="7.625" style="46" customWidth="1"/>
    <col min="2826" max="2826" width="5.125" style="46" customWidth="1"/>
    <col min="2827" max="2827" width="7.625" style="46" customWidth="1"/>
    <col min="2828" max="2828" width="5.125" style="46" customWidth="1"/>
    <col min="2829" max="2829" width="7.625" style="46" customWidth="1"/>
    <col min="2830" max="2830" width="5.125" style="46" customWidth="1"/>
    <col min="2831" max="2831" width="7.625" style="46" customWidth="1"/>
    <col min="2832" max="3072" width="9" style="46"/>
    <col min="3073" max="3074" width="3.625" style="46" customWidth="1"/>
    <col min="3075" max="3075" width="4.25" style="46" customWidth="1"/>
    <col min="3076" max="3076" width="5.625" style="46" customWidth="1"/>
    <col min="3077" max="3077" width="8.625" style="46" customWidth="1"/>
    <col min="3078" max="3078" width="5.625" style="46" customWidth="1"/>
    <col min="3079" max="3079" width="8.125" style="46" customWidth="1"/>
    <col min="3080" max="3080" width="5.125" style="46" customWidth="1"/>
    <col min="3081" max="3081" width="7.625" style="46" customWidth="1"/>
    <col min="3082" max="3082" width="5.125" style="46" customWidth="1"/>
    <col min="3083" max="3083" width="7.625" style="46" customWidth="1"/>
    <col min="3084" max="3084" width="5.125" style="46" customWidth="1"/>
    <col min="3085" max="3085" width="7.625" style="46" customWidth="1"/>
    <col min="3086" max="3086" width="5.125" style="46" customWidth="1"/>
    <col min="3087" max="3087" width="7.625" style="46" customWidth="1"/>
    <col min="3088" max="3328" width="9" style="46"/>
    <col min="3329" max="3330" width="3.625" style="46" customWidth="1"/>
    <col min="3331" max="3331" width="4.25" style="46" customWidth="1"/>
    <col min="3332" max="3332" width="5.625" style="46" customWidth="1"/>
    <col min="3333" max="3333" width="8.625" style="46" customWidth="1"/>
    <col min="3334" max="3334" width="5.625" style="46" customWidth="1"/>
    <col min="3335" max="3335" width="8.125" style="46" customWidth="1"/>
    <col min="3336" max="3336" width="5.125" style="46" customWidth="1"/>
    <col min="3337" max="3337" width="7.625" style="46" customWidth="1"/>
    <col min="3338" max="3338" width="5.125" style="46" customWidth="1"/>
    <col min="3339" max="3339" width="7.625" style="46" customWidth="1"/>
    <col min="3340" max="3340" width="5.125" style="46" customWidth="1"/>
    <col min="3341" max="3341" width="7.625" style="46" customWidth="1"/>
    <col min="3342" max="3342" width="5.125" style="46" customWidth="1"/>
    <col min="3343" max="3343" width="7.625" style="46" customWidth="1"/>
    <col min="3344" max="3584" width="9" style="46"/>
    <col min="3585" max="3586" width="3.625" style="46" customWidth="1"/>
    <col min="3587" max="3587" width="4.25" style="46" customWidth="1"/>
    <col min="3588" max="3588" width="5.625" style="46" customWidth="1"/>
    <col min="3589" max="3589" width="8.625" style="46" customWidth="1"/>
    <col min="3590" max="3590" width="5.625" style="46" customWidth="1"/>
    <col min="3591" max="3591" width="8.125" style="46" customWidth="1"/>
    <col min="3592" max="3592" width="5.125" style="46" customWidth="1"/>
    <col min="3593" max="3593" width="7.625" style="46" customWidth="1"/>
    <col min="3594" max="3594" width="5.125" style="46" customWidth="1"/>
    <col min="3595" max="3595" width="7.625" style="46" customWidth="1"/>
    <col min="3596" max="3596" width="5.125" style="46" customWidth="1"/>
    <col min="3597" max="3597" width="7.625" style="46" customWidth="1"/>
    <col min="3598" max="3598" width="5.125" style="46" customWidth="1"/>
    <col min="3599" max="3599" width="7.625" style="46" customWidth="1"/>
    <col min="3600" max="3840" width="9" style="46"/>
    <col min="3841" max="3842" width="3.625" style="46" customWidth="1"/>
    <col min="3843" max="3843" width="4.25" style="46" customWidth="1"/>
    <col min="3844" max="3844" width="5.625" style="46" customWidth="1"/>
    <col min="3845" max="3845" width="8.625" style="46" customWidth="1"/>
    <col min="3846" max="3846" width="5.625" style="46" customWidth="1"/>
    <col min="3847" max="3847" width="8.125" style="46" customWidth="1"/>
    <col min="3848" max="3848" width="5.125" style="46" customWidth="1"/>
    <col min="3849" max="3849" width="7.625" style="46" customWidth="1"/>
    <col min="3850" max="3850" width="5.125" style="46" customWidth="1"/>
    <col min="3851" max="3851" width="7.625" style="46" customWidth="1"/>
    <col min="3852" max="3852" width="5.125" style="46" customWidth="1"/>
    <col min="3853" max="3853" width="7.625" style="46" customWidth="1"/>
    <col min="3854" max="3854" width="5.125" style="46" customWidth="1"/>
    <col min="3855" max="3855" width="7.625" style="46" customWidth="1"/>
    <col min="3856" max="4096" width="9" style="46"/>
    <col min="4097" max="4098" width="3.625" style="46" customWidth="1"/>
    <col min="4099" max="4099" width="4.25" style="46" customWidth="1"/>
    <col min="4100" max="4100" width="5.625" style="46" customWidth="1"/>
    <col min="4101" max="4101" width="8.625" style="46" customWidth="1"/>
    <col min="4102" max="4102" width="5.625" style="46" customWidth="1"/>
    <col min="4103" max="4103" width="8.125" style="46" customWidth="1"/>
    <col min="4104" max="4104" width="5.125" style="46" customWidth="1"/>
    <col min="4105" max="4105" width="7.625" style="46" customWidth="1"/>
    <col min="4106" max="4106" width="5.125" style="46" customWidth="1"/>
    <col min="4107" max="4107" width="7.625" style="46" customWidth="1"/>
    <col min="4108" max="4108" width="5.125" style="46" customWidth="1"/>
    <col min="4109" max="4109" width="7.625" style="46" customWidth="1"/>
    <col min="4110" max="4110" width="5.125" style="46" customWidth="1"/>
    <col min="4111" max="4111" width="7.625" style="46" customWidth="1"/>
    <col min="4112" max="4352" width="9" style="46"/>
    <col min="4353" max="4354" width="3.625" style="46" customWidth="1"/>
    <col min="4355" max="4355" width="4.25" style="46" customWidth="1"/>
    <col min="4356" max="4356" width="5.625" style="46" customWidth="1"/>
    <col min="4357" max="4357" width="8.625" style="46" customWidth="1"/>
    <col min="4358" max="4358" width="5.625" style="46" customWidth="1"/>
    <col min="4359" max="4359" width="8.125" style="46" customWidth="1"/>
    <col min="4360" max="4360" width="5.125" style="46" customWidth="1"/>
    <col min="4361" max="4361" width="7.625" style="46" customWidth="1"/>
    <col min="4362" max="4362" width="5.125" style="46" customWidth="1"/>
    <col min="4363" max="4363" width="7.625" style="46" customWidth="1"/>
    <col min="4364" max="4364" width="5.125" style="46" customWidth="1"/>
    <col min="4365" max="4365" width="7.625" style="46" customWidth="1"/>
    <col min="4366" max="4366" width="5.125" style="46" customWidth="1"/>
    <col min="4367" max="4367" width="7.625" style="46" customWidth="1"/>
    <col min="4368" max="4608" width="9" style="46"/>
    <col min="4609" max="4610" width="3.625" style="46" customWidth="1"/>
    <col min="4611" max="4611" width="4.25" style="46" customWidth="1"/>
    <col min="4612" max="4612" width="5.625" style="46" customWidth="1"/>
    <col min="4613" max="4613" width="8.625" style="46" customWidth="1"/>
    <col min="4614" max="4614" width="5.625" style="46" customWidth="1"/>
    <col min="4615" max="4615" width="8.125" style="46" customWidth="1"/>
    <col min="4616" max="4616" width="5.125" style="46" customWidth="1"/>
    <col min="4617" max="4617" width="7.625" style="46" customWidth="1"/>
    <col min="4618" max="4618" width="5.125" style="46" customWidth="1"/>
    <col min="4619" max="4619" width="7.625" style="46" customWidth="1"/>
    <col min="4620" max="4620" width="5.125" style="46" customWidth="1"/>
    <col min="4621" max="4621" width="7.625" style="46" customWidth="1"/>
    <col min="4622" max="4622" width="5.125" style="46" customWidth="1"/>
    <col min="4623" max="4623" width="7.625" style="46" customWidth="1"/>
    <col min="4624" max="4864" width="9" style="46"/>
    <col min="4865" max="4866" width="3.625" style="46" customWidth="1"/>
    <col min="4867" max="4867" width="4.25" style="46" customWidth="1"/>
    <col min="4868" max="4868" width="5.625" style="46" customWidth="1"/>
    <col min="4869" max="4869" width="8.625" style="46" customWidth="1"/>
    <col min="4870" max="4870" width="5.625" style="46" customWidth="1"/>
    <col min="4871" max="4871" width="8.125" style="46" customWidth="1"/>
    <col min="4872" max="4872" width="5.125" style="46" customWidth="1"/>
    <col min="4873" max="4873" width="7.625" style="46" customWidth="1"/>
    <col min="4874" max="4874" width="5.125" style="46" customWidth="1"/>
    <col min="4875" max="4875" width="7.625" style="46" customWidth="1"/>
    <col min="4876" max="4876" width="5.125" style="46" customWidth="1"/>
    <col min="4877" max="4877" width="7.625" style="46" customWidth="1"/>
    <col min="4878" max="4878" width="5.125" style="46" customWidth="1"/>
    <col min="4879" max="4879" width="7.625" style="46" customWidth="1"/>
    <col min="4880" max="5120" width="9" style="46"/>
    <col min="5121" max="5122" width="3.625" style="46" customWidth="1"/>
    <col min="5123" max="5123" width="4.25" style="46" customWidth="1"/>
    <col min="5124" max="5124" width="5.625" style="46" customWidth="1"/>
    <col min="5125" max="5125" width="8.625" style="46" customWidth="1"/>
    <col min="5126" max="5126" width="5.625" style="46" customWidth="1"/>
    <col min="5127" max="5127" width="8.125" style="46" customWidth="1"/>
    <col min="5128" max="5128" width="5.125" style="46" customWidth="1"/>
    <col min="5129" max="5129" width="7.625" style="46" customWidth="1"/>
    <col min="5130" max="5130" width="5.125" style="46" customWidth="1"/>
    <col min="5131" max="5131" width="7.625" style="46" customWidth="1"/>
    <col min="5132" max="5132" width="5.125" style="46" customWidth="1"/>
    <col min="5133" max="5133" width="7.625" style="46" customWidth="1"/>
    <col min="5134" max="5134" width="5.125" style="46" customWidth="1"/>
    <col min="5135" max="5135" width="7.625" style="46" customWidth="1"/>
    <col min="5136" max="5376" width="9" style="46"/>
    <col min="5377" max="5378" width="3.625" style="46" customWidth="1"/>
    <col min="5379" max="5379" width="4.25" style="46" customWidth="1"/>
    <col min="5380" max="5380" width="5.625" style="46" customWidth="1"/>
    <col min="5381" max="5381" width="8.625" style="46" customWidth="1"/>
    <col min="5382" max="5382" width="5.625" style="46" customWidth="1"/>
    <col min="5383" max="5383" width="8.125" style="46" customWidth="1"/>
    <col min="5384" max="5384" width="5.125" style="46" customWidth="1"/>
    <col min="5385" max="5385" width="7.625" style="46" customWidth="1"/>
    <col min="5386" max="5386" width="5.125" style="46" customWidth="1"/>
    <col min="5387" max="5387" width="7.625" style="46" customWidth="1"/>
    <col min="5388" max="5388" width="5.125" style="46" customWidth="1"/>
    <col min="5389" max="5389" width="7.625" style="46" customWidth="1"/>
    <col min="5390" max="5390" width="5.125" style="46" customWidth="1"/>
    <col min="5391" max="5391" width="7.625" style="46" customWidth="1"/>
    <col min="5392" max="5632" width="9" style="46"/>
    <col min="5633" max="5634" width="3.625" style="46" customWidth="1"/>
    <col min="5635" max="5635" width="4.25" style="46" customWidth="1"/>
    <col min="5636" max="5636" width="5.625" style="46" customWidth="1"/>
    <col min="5637" max="5637" width="8.625" style="46" customWidth="1"/>
    <col min="5638" max="5638" width="5.625" style="46" customWidth="1"/>
    <col min="5639" max="5639" width="8.125" style="46" customWidth="1"/>
    <col min="5640" max="5640" width="5.125" style="46" customWidth="1"/>
    <col min="5641" max="5641" width="7.625" style="46" customWidth="1"/>
    <col min="5642" max="5642" width="5.125" style="46" customWidth="1"/>
    <col min="5643" max="5643" width="7.625" style="46" customWidth="1"/>
    <col min="5644" max="5644" width="5.125" style="46" customWidth="1"/>
    <col min="5645" max="5645" width="7.625" style="46" customWidth="1"/>
    <col min="5646" max="5646" width="5.125" style="46" customWidth="1"/>
    <col min="5647" max="5647" width="7.625" style="46" customWidth="1"/>
    <col min="5648" max="5888" width="9" style="46"/>
    <col min="5889" max="5890" width="3.625" style="46" customWidth="1"/>
    <col min="5891" max="5891" width="4.25" style="46" customWidth="1"/>
    <col min="5892" max="5892" width="5.625" style="46" customWidth="1"/>
    <col min="5893" max="5893" width="8.625" style="46" customWidth="1"/>
    <col min="5894" max="5894" width="5.625" style="46" customWidth="1"/>
    <col min="5895" max="5895" width="8.125" style="46" customWidth="1"/>
    <col min="5896" max="5896" width="5.125" style="46" customWidth="1"/>
    <col min="5897" max="5897" width="7.625" style="46" customWidth="1"/>
    <col min="5898" max="5898" width="5.125" style="46" customWidth="1"/>
    <col min="5899" max="5899" width="7.625" style="46" customWidth="1"/>
    <col min="5900" max="5900" width="5.125" style="46" customWidth="1"/>
    <col min="5901" max="5901" width="7.625" style="46" customWidth="1"/>
    <col min="5902" max="5902" width="5.125" style="46" customWidth="1"/>
    <col min="5903" max="5903" width="7.625" style="46" customWidth="1"/>
    <col min="5904" max="6144" width="9" style="46"/>
    <col min="6145" max="6146" width="3.625" style="46" customWidth="1"/>
    <col min="6147" max="6147" width="4.25" style="46" customWidth="1"/>
    <col min="6148" max="6148" width="5.625" style="46" customWidth="1"/>
    <col min="6149" max="6149" width="8.625" style="46" customWidth="1"/>
    <col min="6150" max="6150" width="5.625" style="46" customWidth="1"/>
    <col min="6151" max="6151" width="8.125" style="46" customWidth="1"/>
    <col min="6152" max="6152" width="5.125" style="46" customWidth="1"/>
    <col min="6153" max="6153" width="7.625" style="46" customWidth="1"/>
    <col min="6154" max="6154" width="5.125" style="46" customWidth="1"/>
    <col min="6155" max="6155" width="7.625" style="46" customWidth="1"/>
    <col min="6156" max="6156" width="5.125" style="46" customWidth="1"/>
    <col min="6157" max="6157" width="7.625" style="46" customWidth="1"/>
    <col min="6158" max="6158" width="5.125" style="46" customWidth="1"/>
    <col min="6159" max="6159" width="7.625" style="46" customWidth="1"/>
    <col min="6160" max="6400" width="9" style="46"/>
    <col min="6401" max="6402" width="3.625" style="46" customWidth="1"/>
    <col min="6403" max="6403" width="4.25" style="46" customWidth="1"/>
    <col min="6404" max="6404" width="5.625" style="46" customWidth="1"/>
    <col min="6405" max="6405" width="8.625" style="46" customWidth="1"/>
    <col min="6406" max="6406" width="5.625" style="46" customWidth="1"/>
    <col min="6407" max="6407" width="8.125" style="46" customWidth="1"/>
    <col min="6408" max="6408" width="5.125" style="46" customWidth="1"/>
    <col min="6409" max="6409" width="7.625" style="46" customWidth="1"/>
    <col min="6410" max="6410" width="5.125" style="46" customWidth="1"/>
    <col min="6411" max="6411" width="7.625" style="46" customWidth="1"/>
    <col min="6412" max="6412" width="5.125" style="46" customWidth="1"/>
    <col min="6413" max="6413" width="7.625" style="46" customWidth="1"/>
    <col min="6414" max="6414" width="5.125" style="46" customWidth="1"/>
    <col min="6415" max="6415" width="7.625" style="46" customWidth="1"/>
    <col min="6416" max="6656" width="9" style="46"/>
    <col min="6657" max="6658" width="3.625" style="46" customWidth="1"/>
    <col min="6659" max="6659" width="4.25" style="46" customWidth="1"/>
    <col min="6660" max="6660" width="5.625" style="46" customWidth="1"/>
    <col min="6661" max="6661" width="8.625" style="46" customWidth="1"/>
    <col min="6662" max="6662" width="5.625" style="46" customWidth="1"/>
    <col min="6663" max="6663" width="8.125" style="46" customWidth="1"/>
    <col min="6664" max="6664" width="5.125" style="46" customWidth="1"/>
    <col min="6665" max="6665" width="7.625" style="46" customWidth="1"/>
    <col min="6666" max="6666" width="5.125" style="46" customWidth="1"/>
    <col min="6667" max="6667" width="7.625" style="46" customWidth="1"/>
    <col min="6668" max="6668" width="5.125" style="46" customWidth="1"/>
    <col min="6669" max="6669" width="7.625" style="46" customWidth="1"/>
    <col min="6670" max="6670" width="5.125" style="46" customWidth="1"/>
    <col min="6671" max="6671" width="7.625" style="46" customWidth="1"/>
    <col min="6672" max="6912" width="9" style="46"/>
    <col min="6913" max="6914" width="3.625" style="46" customWidth="1"/>
    <col min="6915" max="6915" width="4.25" style="46" customWidth="1"/>
    <col min="6916" max="6916" width="5.625" style="46" customWidth="1"/>
    <col min="6917" max="6917" width="8.625" style="46" customWidth="1"/>
    <col min="6918" max="6918" width="5.625" style="46" customWidth="1"/>
    <col min="6919" max="6919" width="8.125" style="46" customWidth="1"/>
    <col min="6920" max="6920" width="5.125" style="46" customWidth="1"/>
    <col min="6921" max="6921" width="7.625" style="46" customWidth="1"/>
    <col min="6922" max="6922" width="5.125" style="46" customWidth="1"/>
    <col min="6923" max="6923" width="7.625" style="46" customWidth="1"/>
    <col min="6924" max="6924" width="5.125" style="46" customWidth="1"/>
    <col min="6925" max="6925" width="7.625" style="46" customWidth="1"/>
    <col min="6926" max="6926" width="5.125" style="46" customWidth="1"/>
    <col min="6927" max="6927" width="7.625" style="46" customWidth="1"/>
    <col min="6928" max="7168" width="9" style="46"/>
    <col min="7169" max="7170" width="3.625" style="46" customWidth="1"/>
    <col min="7171" max="7171" width="4.25" style="46" customWidth="1"/>
    <col min="7172" max="7172" width="5.625" style="46" customWidth="1"/>
    <col min="7173" max="7173" width="8.625" style="46" customWidth="1"/>
    <col min="7174" max="7174" width="5.625" style="46" customWidth="1"/>
    <col min="7175" max="7175" width="8.125" style="46" customWidth="1"/>
    <col min="7176" max="7176" width="5.125" style="46" customWidth="1"/>
    <col min="7177" max="7177" width="7.625" style="46" customWidth="1"/>
    <col min="7178" max="7178" width="5.125" style="46" customWidth="1"/>
    <col min="7179" max="7179" width="7.625" style="46" customWidth="1"/>
    <col min="7180" max="7180" width="5.125" style="46" customWidth="1"/>
    <col min="7181" max="7181" width="7.625" style="46" customWidth="1"/>
    <col min="7182" max="7182" width="5.125" style="46" customWidth="1"/>
    <col min="7183" max="7183" width="7.625" style="46" customWidth="1"/>
    <col min="7184" max="7424" width="9" style="46"/>
    <col min="7425" max="7426" width="3.625" style="46" customWidth="1"/>
    <col min="7427" max="7427" width="4.25" style="46" customWidth="1"/>
    <col min="7428" max="7428" width="5.625" style="46" customWidth="1"/>
    <col min="7429" max="7429" width="8.625" style="46" customWidth="1"/>
    <col min="7430" max="7430" width="5.625" style="46" customWidth="1"/>
    <col min="7431" max="7431" width="8.125" style="46" customWidth="1"/>
    <col min="7432" max="7432" width="5.125" style="46" customWidth="1"/>
    <col min="7433" max="7433" width="7.625" style="46" customWidth="1"/>
    <col min="7434" max="7434" width="5.125" style="46" customWidth="1"/>
    <col min="7435" max="7435" width="7.625" style="46" customWidth="1"/>
    <col min="7436" max="7436" width="5.125" style="46" customWidth="1"/>
    <col min="7437" max="7437" width="7.625" style="46" customWidth="1"/>
    <col min="7438" max="7438" width="5.125" style="46" customWidth="1"/>
    <col min="7439" max="7439" width="7.625" style="46" customWidth="1"/>
    <col min="7440" max="7680" width="9" style="46"/>
    <col min="7681" max="7682" width="3.625" style="46" customWidth="1"/>
    <col min="7683" max="7683" width="4.25" style="46" customWidth="1"/>
    <col min="7684" max="7684" width="5.625" style="46" customWidth="1"/>
    <col min="7685" max="7685" width="8.625" style="46" customWidth="1"/>
    <col min="7686" max="7686" width="5.625" style="46" customWidth="1"/>
    <col min="7687" max="7687" width="8.125" style="46" customWidth="1"/>
    <col min="7688" max="7688" width="5.125" style="46" customWidth="1"/>
    <col min="7689" max="7689" width="7.625" style="46" customWidth="1"/>
    <col min="7690" max="7690" width="5.125" style="46" customWidth="1"/>
    <col min="7691" max="7691" width="7.625" style="46" customWidth="1"/>
    <col min="7692" max="7692" width="5.125" style="46" customWidth="1"/>
    <col min="7693" max="7693" width="7.625" style="46" customWidth="1"/>
    <col min="7694" max="7694" width="5.125" style="46" customWidth="1"/>
    <col min="7695" max="7695" width="7.625" style="46" customWidth="1"/>
    <col min="7696" max="7936" width="9" style="46"/>
    <col min="7937" max="7938" width="3.625" style="46" customWidth="1"/>
    <col min="7939" max="7939" width="4.25" style="46" customWidth="1"/>
    <col min="7940" max="7940" width="5.625" style="46" customWidth="1"/>
    <col min="7941" max="7941" width="8.625" style="46" customWidth="1"/>
    <col min="7942" max="7942" width="5.625" style="46" customWidth="1"/>
    <col min="7943" max="7943" width="8.125" style="46" customWidth="1"/>
    <col min="7944" max="7944" width="5.125" style="46" customWidth="1"/>
    <col min="7945" max="7945" width="7.625" style="46" customWidth="1"/>
    <col min="7946" max="7946" width="5.125" style="46" customWidth="1"/>
    <col min="7947" max="7947" width="7.625" style="46" customWidth="1"/>
    <col min="7948" max="7948" width="5.125" style="46" customWidth="1"/>
    <col min="7949" max="7949" width="7.625" style="46" customWidth="1"/>
    <col min="7950" max="7950" width="5.125" style="46" customWidth="1"/>
    <col min="7951" max="7951" width="7.625" style="46" customWidth="1"/>
    <col min="7952" max="8192" width="9" style="46"/>
    <col min="8193" max="8194" width="3.625" style="46" customWidth="1"/>
    <col min="8195" max="8195" width="4.25" style="46" customWidth="1"/>
    <col min="8196" max="8196" width="5.625" style="46" customWidth="1"/>
    <col min="8197" max="8197" width="8.625" style="46" customWidth="1"/>
    <col min="8198" max="8198" width="5.625" style="46" customWidth="1"/>
    <col min="8199" max="8199" width="8.125" style="46" customWidth="1"/>
    <col min="8200" max="8200" width="5.125" style="46" customWidth="1"/>
    <col min="8201" max="8201" width="7.625" style="46" customWidth="1"/>
    <col min="8202" max="8202" width="5.125" style="46" customWidth="1"/>
    <col min="8203" max="8203" width="7.625" style="46" customWidth="1"/>
    <col min="8204" max="8204" width="5.125" style="46" customWidth="1"/>
    <col min="8205" max="8205" width="7.625" style="46" customWidth="1"/>
    <col min="8206" max="8206" width="5.125" style="46" customWidth="1"/>
    <col min="8207" max="8207" width="7.625" style="46" customWidth="1"/>
    <col min="8208" max="8448" width="9" style="46"/>
    <col min="8449" max="8450" width="3.625" style="46" customWidth="1"/>
    <col min="8451" max="8451" width="4.25" style="46" customWidth="1"/>
    <col min="8452" max="8452" width="5.625" style="46" customWidth="1"/>
    <col min="8453" max="8453" width="8.625" style="46" customWidth="1"/>
    <col min="8454" max="8454" width="5.625" style="46" customWidth="1"/>
    <col min="8455" max="8455" width="8.125" style="46" customWidth="1"/>
    <col min="8456" max="8456" width="5.125" style="46" customWidth="1"/>
    <col min="8457" max="8457" width="7.625" style="46" customWidth="1"/>
    <col min="8458" max="8458" width="5.125" style="46" customWidth="1"/>
    <col min="8459" max="8459" width="7.625" style="46" customWidth="1"/>
    <col min="8460" max="8460" width="5.125" style="46" customWidth="1"/>
    <col min="8461" max="8461" width="7.625" style="46" customWidth="1"/>
    <col min="8462" max="8462" width="5.125" style="46" customWidth="1"/>
    <col min="8463" max="8463" width="7.625" style="46" customWidth="1"/>
    <col min="8464" max="8704" width="9" style="46"/>
    <col min="8705" max="8706" width="3.625" style="46" customWidth="1"/>
    <col min="8707" max="8707" width="4.25" style="46" customWidth="1"/>
    <col min="8708" max="8708" width="5.625" style="46" customWidth="1"/>
    <col min="8709" max="8709" width="8.625" style="46" customWidth="1"/>
    <col min="8710" max="8710" width="5.625" style="46" customWidth="1"/>
    <col min="8711" max="8711" width="8.125" style="46" customWidth="1"/>
    <col min="8712" max="8712" width="5.125" style="46" customWidth="1"/>
    <col min="8713" max="8713" width="7.625" style="46" customWidth="1"/>
    <col min="8714" max="8714" width="5.125" style="46" customWidth="1"/>
    <col min="8715" max="8715" width="7.625" style="46" customWidth="1"/>
    <col min="8716" max="8716" width="5.125" style="46" customWidth="1"/>
    <col min="8717" max="8717" width="7.625" style="46" customWidth="1"/>
    <col min="8718" max="8718" width="5.125" style="46" customWidth="1"/>
    <col min="8719" max="8719" width="7.625" style="46" customWidth="1"/>
    <col min="8720" max="8960" width="9" style="46"/>
    <col min="8961" max="8962" width="3.625" style="46" customWidth="1"/>
    <col min="8963" max="8963" width="4.25" style="46" customWidth="1"/>
    <col min="8964" max="8964" width="5.625" style="46" customWidth="1"/>
    <col min="8965" max="8965" width="8.625" style="46" customWidth="1"/>
    <col min="8966" max="8966" width="5.625" style="46" customWidth="1"/>
    <col min="8967" max="8967" width="8.125" style="46" customWidth="1"/>
    <col min="8968" max="8968" width="5.125" style="46" customWidth="1"/>
    <col min="8969" max="8969" width="7.625" style="46" customWidth="1"/>
    <col min="8970" max="8970" width="5.125" style="46" customWidth="1"/>
    <col min="8971" max="8971" width="7.625" style="46" customWidth="1"/>
    <col min="8972" max="8972" width="5.125" style="46" customWidth="1"/>
    <col min="8973" max="8973" width="7.625" style="46" customWidth="1"/>
    <col min="8974" max="8974" width="5.125" style="46" customWidth="1"/>
    <col min="8975" max="8975" width="7.625" style="46" customWidth="1"/>
    <col min="8976" max="9216" width="9" style="46"/>
    <col min="9217" max="9218" width="3.625" style="46" customWidth="1"/>
    <col min="9219" max="9219" width="4.25" style="46" customWidth="1"/>
    <col min="9220" max="9220" width="5.625" style="46" customWidth="1"/>
    <col min="9221" max="9221" width="8.625" style="46" customWidth="1"/>
    <col min="9222" max="9222" width="5.625" style="46" customWidth="1"/>
    <col min="9223" max="9223" width="8.125" style="46" customWidth="1"/>
    <col min="9224" max="9224" width="5.125" style="46" customWidth="1"/>
    <col min="9225" max="9225" width="7.625" style="46" customWidth="1"/>
    <col min="9226" max="9226" width="5.125" style="46" customWidth="1"/>
    <col min="9227" max="9227" width="7.625" style="46" customWidth="1"/>
    <col min="9228" max="9228" width="5.125" style="46" customWidth="1"/>
    <col min="9229" max="9229" width="7.625" style="46" customWidth="1"/>
    <col min="9230" max="9230" width="5.125" style="46" customWidth="1"/>
    <col min="9231" max="9231" width="7.625" style="46" customWidth="1"/>
    <col min="9232" max="9472" width="9" style="46"/>
    <col min="9473" max="9474" width="3.625" style="46" customWidth="1"/>
    <col min="9475" max="9475" width="4.25" style="46" customWidth="1"/>
    <col min="9476" max="9476" width="5.625" style="46" customWidth="1"/>
    <col min="9477" max="9477" width="8.625" style="46" customWidth="1"/>
    <col min="9478" max="9478" width="5.625" style="46" customWidth="1"/>
    <col min="9479" max="9479" width="8.125" style="46" customWidth="1"/>
    <col min="9480" max="9480" width="5.125" style="46" customWidth="1"/>
    <col min="9481" max="9481" width="7.625" style="46" customWidth="1"/>
    <col min="9482" max="9482" width="5.125" style="46" customWidth="1"/>
    <col min="9483" max="9483" width="7.625" style="46" customWidth="1"/>
    <col min="9484" max="9484" width="5.125" style="46" customWidth="1"/>
    <col min="9485" max="9485" width="7.625" style="46" customWidth="1"/>
    <col min="9486" max="9486" width="5.125" style="46" customWidth="1"/>
    <col min="9487" max="9487" width="7.625" style="46" customWidth="1"/>
    <col min="9488" max="9728" width="9" style="46"/>
    <col min="9729" max="9730" width="3.625" style="46" customWidth="1"/>
    <col min="9731" max="9731" width="4.25" style="46" customWidth="1"/>
    <col min="9732" max="9732" width="5.625" style="46" customWidth="1"/>
    <col min="9733" max="9733" width="8.625" style="46" customWidth="1"/>
    <col min="9734" max="9734" width="5.625" style="46" customWidth="1"/>
    <col min="9735" max="9735" width="8.125" style="46" customWidth="1"/>
    <col min="9736" max="9736" width="5.125" style="46" customWidth="1"/>
    <col min="9737" max="9737" width="7.625" style="46" customWidth="1"/>
    <col min="9738" max="9738" width="5.125" style="46" customWidth="1"/>
    <col min="9739" max="9739" width="7.625" style="46" customWidth="1"/>
    <col min="9740" max="9740" width="5.125" style="46" customWidth="1"/>
    <col min="9741" max="9741" width="7.625" style="46" customWidth="1"/>
    <col min="9742" max="9742" width="5.125" style="46" customWidth="1"/>
    <col min="9743" max="9743" width="7.625" style="46" customWidth="1"/>
    <col min="9744" max="9984" width="9" style="46"/>
    <col min="9985" max="9986" width="3.625" style="46" customWidth="1"/>
    <col min="9987" max="9987" width="4.25" style="46" customWidth="1"/>
    <col min="9988" max="9988" width="5.625" style="46" customWidth="1"/>
    <col min="9989" max="9989" width="8.625" style="46" customWidth="1"/>
    <col min="9990" max="9990" width="5.625" style="46" customWidth="1"/>
    <col min="9991" max="9991" width="8.125" style="46" customWidth="1"/>
    <col min="9992" max="9992" width="5.125" style="46" customWidth="1"/>
    <col min="9993" max="9993" width="7.625" style="46" customWidth="1"/>
    <col min="9994" max="9994" width="5.125" style="46" customWidth="1"/>
    <col min="9995" max="9995" width="7.625" style="46" customWidth="1"/>
    <col min="9996" max="9996" width="5.125" style="46" customWidth="1"/>
    <col min="9997" max="9997" width="7.625" style="46" customWidth="1"/>
    <col min="9998" max="9998" width="5.125" style="46" customWidth="1"/>
    <col min="9999" max="9999" width="7.625" style="46" customWidth="1"/>
    <col min="10000" max="10240" width="9" style="46"/>
    <col min="10241" max="10242" width="3.625" style="46" customWidth="1"/>
    <col min="10243" max="10243" width="4.25" style="46" customWidth="1"/>
    <col min="10244" max="10244" width="5.625" style="46" customWidth="1"/>
    <col min="10245" max="10245" width="8.625" style="46" customWidth="1"/>
    <col min="10246" max="10246" width="5.625" style="46" customWidth="1"/>
    <col min="10247" max="10247" width="8.125" style="46" customWidth="1"/>
    <col min="10248" max="10248" width="5.125" style="46" customWidth="1"/>
    <col min="10249" max="10249" width="7.625" style="46" customWidth="1"/>
    <col min="10250" max="10250" width="5.125" style="46" customWidth="1"/>
    <col min="10251" max="10251" width="7.625" style="46" customWidth="1"/>
    <col min="10252" max="10252" width="5.125" style="46" customWidth="1"/>
    <col min="10253" max="10253" width="7.625" style="46" customWidth="1"/>
    <col min="10254" max="10254" width="5.125" style="46" customWidth="1"/>
    <col min="10255" max="10255" width="7.625" style="46" customWidth="1"/>
    <col min="10256" max="10496" width="9" style="46"/>
    <col min="10497" max="10498" width="3.625" style="46" customWidth="1"/>
    <col min="10499" max="10499" width="4.25" style="46" customWidth="1"/>
    <col min="10500" max="10500" width="5.625" style="46" customWidth="1"/>
    <col min="10501" max="10501" width="8.625" style="46" customWidth="1"/>
    <col min="10502" max="10502" width="5.625" style="46" customWidth="1"/>
    <col min="10503" max="10503" width="8.125" style="46" customWidth="1"/>
    <col min="10504" max="10504" width="5.125" style="46" customWidth="1"/>
    <col min="10505" max="10505" width="7.625" style="46" customWidth="1"/>
    <col min="10506" max="10506" width="5.125" style="46" customWidth="1"/>
    <col min="10507" max="10507" width="7.625" style="46" customWidth="1"/>
    <col min="10508" max="10508" width="5.125" style="46" customWidth="1"/>
    <col min="10509" max="10509" width="7.625" style="46" customWidth="1"/>
    <col min="10510" max="10510" width="5.125" style="46" customWidth="1"/>
    <col min="10511" max="10511" width="7.625" style="46" customWidth="1"/>
    <col min="10512" max="10752" width="9" style="46"/>
    <col min="10753" max="10754" width="3.625" style="46" customWidth="1"/>
    <col min="10755" max="10755" width="4.25" style="46" customWidth="1"/>
    <col min="10756" max="10756" width="5.625" style="46" customWidth="1"/>
    <col min="10757" max="10757" width="8.625" style="46" customWidth="1"/>
    <col min="10758" max="10758" width="5.625" style="46" customWidth="1"/>
    <col min="10759" max="10759" width="8.125" style="46" customWidth="1"/>
    <col min="10760" max="10760" width="5.125" style="46" customWidth="1"/>
    <col min="10761" max="10761" width="7.625" style="46" customWidth="1"/>
    <col min="10762" max="10762" width="5.125" style="46" customWidth="1"/>
    <col min="10763" max="10763" width="7.625" style="46" customWidth="1"/>
    <col min="10764" max="10764" width="5.125" style="46" customWidth="1"/>
    <col min="10765" max="10765" width="7.625" style="46" customWidth="1"/>
    <col min="10766" max="10766" width="5.125" style="46" customWidth="1"/>
    <col min="10767" max="10767" width="7.625" style="46" customWidth="1"/>
    <col min="10768" max="11008" width="9" style="46"/>
    <col min="11009" max="11010" width="3.625" style="46" customWidth="1"/>
    <col min="11011" max="11011" width="4.25" style="46" customWidth="1"/>
    <col min="11012" max="11012" width="5.625" style="46" customWidth="1"/>
    <col min="11013" max="11013" width="8.625" style="46" customWidth="1"/>
    <col min="11014" max="11014" width="5.625" style="46" customWidth="1"/>
    <col min="11015" max="11015" width="8.125" style="46" customWidth="1"/>
    <col min="11016" max="11016" width="5.125" style="46" customWidth="1"/>
    <col min="11017" max="11017" width="7.625" style="46" customWidth="1"/>
    <col min="11018" max="11018" width="5.125" style="46" customWidth="1"/>
    <col min="11019" max="11019" width="7.625" style="46" customWidth="1"/>
    <col min="11020" max="11020" width="5.125" style="46" customWidth="1"/>
    <col min="11021" max="11021" width="7.625" style="46" customWidth="1"/>
    <col min="11022" max="11022" width="5.125" style="46" customWidth="1"/>
    <col min="11023" max="11023" width="7.625" style="46" customWidth="1"/>
    <col min="11024" max="11264" width="9" style="46"/>
    <col min="11265" max="11266" width="3.625" style="46" customWidth="1"/>
    <col min="11267" max="11267" width="4.25" style="46" customWidth="1"/>
    <col min="11268" max="11268" width="5.625" style="46" customWidth="1"/>
    <col min="11269" max="11269" width="8.625" style="46" customWidth="1"/>
    <col min="11270" max="11270" width="5.625" style="46" customWidth="1"/>
    <col min="11271" max="11271" width="8.125" style="46" customWidth="1"/>
    <col min="11272" max="11272" width="5.125" style="46" customWidth="1"/>
    <col min="11273" max="11273" width="7.625" style="46" customWidth="1"/>
    <col min="11274" max="11274" width="5.125" style="46" customWidth="1"/>
    <col min="11275" max="11275" width="7.625" style="46" customWidth="1"/>
    <col min="11276" max="11276" width="5.125" style="46" customWidth="1"/>
    <col min="11277" max="11277" width="7.625" style="46" customWidth="1"/>
    <col min="11278" max="11278" width="5.125" style="46" customWidth="1"/>
    <col min="11279" max="11279" width="7.625" style="46" customWidth="1"/>
    <col min="11280" max="11520" width="9" style="46"/>
    <col min="11521" max="11522" width="3.625" style="46" customWidth="1"/>
    <col min="11523" max="11523" width="4.25" style="46" customWidth="1"/>
    <col min="11524" max="11524" width="5.625" style="46" customWidth="1"/>
    <col min="11525" max="11525" width="8.625" style="46" customWidth="1"/>
    <col min="11526" max="11526" width="5.625" style="46" customWidth="1"/>
    <col min="11527" max="11527" width="8.125" style="46" customWidth="1"/>
    <col min="11528" max="11528" width="5.125" style="46" customWidth="1"/>
    <col min="11529" max="11529" width="7.625" style="46" customWidth="1"/>
    <col min="11530" max="11530" width="5.125" style="46" customWidth="1"/>
    <col min="11531" max="11531" width="7.625" style="46" customWidth="1"/>
    <col min="11532" max="11532" width="5.125" style="46" customWidth="1"/>
    <col min="11533" max="11533" width="7.625" style="46" customWidth="1"/>
    <col min="11534" max="11534" width="5.125" style="46" customWidth="1"/>
    <col min="11535" max="11535" width="7.625" style="46" customWidth="1"/>
    <col min="11536" max="11776" width="9" style="46"/>
    <col min="11777" max="11778" width="3.625" style="46" customWidth="1"/>
    <col min="11779" max="11779" width="4.25" style="46" customWidth="1"/>
    <col min="11780" max="11780" width="5.625" style="46" customWidth="1"/>
    <col min="11781" max="11781" width="8.625" style="46" customWidth="1"/>
    <col min="11782" max="11782" width="5.625" style="46" customWidth="1"/>
    <col min="11783" max="11783" width="8.125" style="46" customWidth="1"/>
    <col min="11784" max="11784" width="5.125" style="46" customWidth="1"/>
    <col min="11785" max="11785" width="7.625" style="46" customWidth="1"/>
    <col min="11786" max="11786" width="5.125" style="46" customWidth="1"/>
    <col min="11787" max="11787" width="7.625" style="46" customWidth="1"/>
    <col min="11788" max="11788" width="5.125" style="46" customWidth="1"/>
    <col min="11789" max="11789" width="7.625" style="46" customWidth="1"/>
    <col min="11790" max="11790" width="5.125" style="46" customWidth="1"/>
    <col min="11791" max="11791" width="7.625" style="46" customWidth="1"/>
    <col min="11792" max="12032" width="9" style="46"/>
    <col min="12033" max="12034" width="3.625" style="46" customWidth="1"/>
    <col min="12035" max="12035" width="4.25" style="46" customWidth="1"/>
    <col min="12036" max="12036" width="5.625" style="46" customWidth="1"/>
    <col min="12037" max="12037" width="8.625" style="46" customWidth="1"/>
    <col min="12038" max="12038" width="5.625" style="46" customWidth="1"/>
    <col min="12039" max="12039" width="8.125" style="46" customWidth="1"/>
    <col min="12040" max="12040" width="5.125" style="46" customWidth="1"/>
    <col min="12041" max="12041" width="7.625" style="46" customWidth="1"/>
    <col min="12042" max="12042" width="5.125" style="46" customWidth="1"/>
    <col min="12043" max="12043" width="7.625" style="46" customWidth="1"/>
    <col min="12044" max="12044" width="5.125" style="46" customWidth="1"/>
    <col min="12045" max="12045" width="7.625" style="46" customWidth="1"/>
    <col min="12046" max="12046" width="5.125" style="46" customWidth="1"/>
    <col min="12047" max="12047" width="7.625" style="46" customWidth="1"/>
    <col min="12048" max="12288" width="9" style="46"/>
    <col min="12289" max="12290" width="3.625" style="46" customWidth="1"/>
    <col min="12291" max="12291" width="4.25" style="46" customWidth="1"/>
    <col min="12292" max="12292" width="5.625" style="46" customWidth="1"/>
    <col min="12293" max="12293" width="8.625" style="46" customWidth="1"/>
    <col min="12294" max="12294" width="5.625" style="46" customWidth="1"/>
    <col min="12295" max="12295" width="8.125" style="46" customWidth="1"/>
    <col min="12296" max="12296" width="5.125" style="46" customWidth="1"/>
    <col min="12297" max="12297" width="7.625" style="46" customWidth="1"/>
    <col min="12298" max="12298" width="5.125" style="46" customWidth="1"/>
    <col min="12299" max="12299" width="7.625" style="46" customWidth="1"/>
    <col min="12300" max="12300" width="5.125" style="46" customWidth="1"/>
    <col min="12301" max="12301" width="7.625" style="46" customWidth="1"/>
    <col min="12302" max="12302" width="5.125" style="46" customWidth="1"/>
    <col min="12303" max="12303" width="7.625" style="46" customWidth="1"/>
    <col min="12304" max="12544" width="9" style="46"/>
    <col min="12545" max="12546" width="3.625" style="46" customWidth="1"/>
    <col min="12547" max="12547" width="4.25" style="46" customWidth="1"/>
    <col min="12548" max="12548" width="5.625" style="46" customWidth="1"/>
    <col min="12549" max="12549" width="8.625" style="46" customWidth="1"/>
    <col min="12550" max="12550" width="5.625" style="46" customWidth="1"/>
    <col min="12551" max="12551" width="8.125" style="46" customWidth="1"/>
    <col min="12552" max="12552" width="5.125" style="46" customWidth="1"/>
    <col min="12553" max="12553" width="7.625" style="46" customWidth="1"/>
    <col min="12554" max="12554" width="5.125" style="46" customWidth="1"/>
    <col min="12555" max="12555" width="7.625" style="46" customWidth="1"/>
    <col min="12556" max="12556" width="5.125" style="46" customWidth="1"/>
    <col min="12557" max="12557" width="7.625" style="46" customWidth="1"/>
    <col min="12558" max="12558" width="5.125" style="46" customWidth="1"/>
    <col min="12559" max="12559" width="7.625" style="46" customWidth="1"/>
    <col min="12560" max="12800" width="9" style="46"/>
    <col min="12801" max="12802" width="3.625" style="46" customWidth="1"/>
    <col min="12803" max="12803" width="4.25" style="46" customWidth="1"/>
    <col min="12804" max="12804" width="5.625" style="46" customWidth="1"/>
    <col min="12805" max="12805" width="8.625" style="46" customWidth="1"/>
    <col min="12806" max="12806" width="5.625" style="46" customWidth="1"/>
    <col min="12807" max="12807" width="8.125" style="46" customWidth="1"/>
    <col min="12808" max="12808" width="5.125" style="46" customWidth="1"/>
    <col min="12809" max="12809" width="7.625" style="46" customWidth="1"/>
    <col min="12810" max="12810" width="5.125" style="46" customWidth="1"/>
    <col min="12811" max="12811" width="7.625" style="46" customWidth="1"/>
    <col min="12812" max="12812" width="5.125" style="46" customWidth="1"/>
    <col min="12813" max="12813" width="7.625" style="46" customWidth="1"/>
    <col min="12814" max="12814" width="5.125" style="46" customWidth="1"/>
    <col min="12815" max="12815" width="7.625" style="46" customWidth="1"/>
    <col min="12816" max="13056" width="9" style="46"/>
    <col min="13057" max="13058" width="3.625" style="46" customWidth="1"/>
    <col min="13059" max="13059" width="4.25" style="46" customWidth="1"/>
    <col min="13060" max="13060" width="5.625" style="46" customWidth="1"/>
    <col min="13061" max="13061" width="8.625" style="46" customWidth="1"/>
    <col min="13062" max="13062" width="5.625" style="46" customWidth="1"/>
    <col min="13063" max="13063" width="8.125" style="46" customWidth="1"/>
    <col min="13064" max="13064" width="5.125" style="46" customWidth="1"/>
    <col min="13065" max="13065" width="7.625" style="46" customWidth="1"/>
    <col min="13066" max="13066" width="5.125" style="46" customWidth="1"/>
    <col min="13067" max="13067" width="7.625" style="46" customWidth="1"/>
    <col min="13068" max="13068" width="5.125" style="46" customWidth="1"/>
    <col min="13069" max="13069" width="7.625" style="46" customWidth="1"/>
    <col min="13070" max="13070" width="5.125" style="46" customWidth="1"/>
    <col min="13071" max="13071" width="7.625" style="46" customWidth="1"/>
    <col min="13072" max="13312" width="9" style="46"/>
    <col min="13313" max="13314" width="3.625" style="46" customWidth="1"/>
    <col min="13315" max="13315" width="4.25" style="46" customWidth="1"/>
    <col min="13316" max="13316" width="5.625" style="46" customWidth="1"/>
    <col min="13317" max="13317" width="8.625" style="46" customWidth="1"/>
    <col min="13318" max="13318" width="5.625" style="46" customWidth="1"/>
    <col min="13319" max="13319" width="8.125" style="46" customWidth="1"/>
    <col min="13320" max="13320" width="5.125" style="46" customWidth="1"/>
    <col min="13321" max="13321" width="7.625" style="46" customWidth="1"/>
    <col min="13322" max="13322" width="5.125" style="46" customWidth="1"/>
    <col min="13323" max="13323" width="7.625" style="46" customWidth="1"/>
    <col min="13324" max="13324" width="5.125" style="46" customWidth="1"/>
    <col min="13325" max="13325" width="7.625" style="46" customWidth="1"/>
    <col min="13326" max="13326" width="5.125" style="46" customWidth="1"/>
    <col min="13327" max="13327" width="7.625" style="46" customWidth="1"/>
    <col min="13328" max="13568" width="9" style="46"/>
    <col min="13569" max="13570" width="3.625" style="46" customWidth="1"/>
    <col min="13571" max="13571" width="4.25" style="46" customWidth="1"/>
    <col min="13572" max="13572" width="5.625" style="46" customWidth="1"/>
    <col min="13573" max="13573" width="8.625" style="46" customWidth="1"/>
    <col min="13574" max="13574" width="5.625" style="46" customWidth="1"/>
    <col min="13575" max="13575" width="8.125" style="46" customWidth="1"/>
    <col min="13576" max="13576" width="5.125" style="46" customWidth="1"/>
    <col min="13577" max="13577" width="7.625" style="46" customWidth="1"/>
    <col min="13578" max="13578" width="5.125" style="46" customWidth="1"/>
    <col min="13579" max="13579" width="7.625" style="46" customWidth="1"/>
    <col min="13580" max="13580" width="5.125" style="46" customWidth="1"/>
    <col min="13581" max="13581" width="7.625" style="46" customWidth="1"/>
    <col min="13582" max="13582" width="5.125" style="46" customWidth="1"/>
    <col min="13583" max="13583" width="7.625" style="46" customWidth="1"/>
    <col min="13584" max="13824" width="9" style="46"/>
    <col min="13825" max="13826" width="3.625" style="46" customWidth="1"/>
    <col min="13827" max="13827" width="4.25" style="46" customWidth="1"/>
    <col min="13828" max="13828" width="5.625" style="46" customWidth="1"/>
    <col min="13829" max="13829" width="8.625" style="46" customWidth="1"/>
    <col min="13830" max="13830" width="5.625" style="46" customWidth="1"/>
    <col min="13831" max="13831" width="8.125" style="46" customWidth="1"/>
    <col min="13832" max="13832" width="5.125" style="46" customWidth="1"/>
    <col min="13833" max="13833" width="7.625" style="46" customWidth="1"/>
    <col min="13834" max="13834" width="5.125" style="46" customWidth="1"/>
    <col min="13835" max="13835" width="7.625" style="46" customWidth="1"/>
    <col min="13836" max="13836" width="5.125" style="46" customWidth="1"/>
    <col min="13837" max="13837" width="7.625" style="46" customWidth="1"/>
    <col min="13838" max="13838" width="5.125" style="46" customWidth="1"/>
    <col min="13839" max="13839" width="7.625" style="46" customWidth="1"/>
    <col min="13840" max="14080" width="9" style="46"/>
    <col min="14081" max="14082" width="3.625" style="46" customWidth="1"/>
    <col min="14083" max="14083" width="4.25" style="46" customWidth="1"/>
    <col min="14084" max="14084" width="5.625" style="46" customWidth="1"/>
    <col min="14085" max="14085" width="8.625" style="46" customWidth="1"/>
    <col min="14086" max="14086" width="5.625" style="46" customWidth="1"/>
    <col min="14087" max="14087" width="8.125" style="46" customWidth="1"/>
    <col min="14088" max="14088" width="5.125" style="46" customWidth="1"/>
    <col min="14089" max="14089" width="7.625" style="46" customWidth="1"/>
    <col min="14090" max="14090" width="5.125" style="46" customWidth="1"/>
    <col min="14091" max="14091" width="7.625" style="46" customWidth="1"/>
    <col min="14092" max="14092" width="5.125" style="46" customWidth="1"/>
    <col min="14093" max="14093" width="7.625" style="46" customWidth="1"/>
    <col min="14094" max="14094" width="5.125" style="46" customWidth="1"/>
    <col min="14095" max="14095" width="7.625" style="46" customWidth="1"/>
    <col min="14096" max="14336" width="9" style="46"/>
    <col min="14337" max="14338" width="3.625" style="46" customWidth="1"/>
    <col min="14339" max="14339" width="4.25" style="46" customWidth="1"/>
    <col min="14340" max="14340" width="5.625" style="46" customWidth="1"/>
    <col min="14341" max="14341" width="8.625" style="46" customWidth="1"/>
    <col min="14342" max="14342" width="5.625" style="46" customWidth="1"/>
    <col min="14343" max="14343" width="8.125" style="46" customWidth="1"/>
    <col min="14344" max="14344" width="5.125" style="46" customWidth="1"/>
    <col min="14345" max="14345" width="7.625" style="46" customWidth="1"/>
    <col min="14346" max="14346" width="5.125" style="46" customWidth="1"/>
    <col min="14347" max="14347" width="7.625" style="46" customWidth="1"/>
    <col min="14348" max="14348" width="5.125" style="46" customWidth="1"/>
    <col min="14349" max="14349" width="7.625" style="46" customWidth="1"/>
    <col min="14350" max="14350" width="5.125" style="46" customWidth="1"/>
    <col min="14351" max="14351" width="7.625" style="46" customWidth="1"/>
    <col min="14352" max="14592" width="9" style="46"/>
    <col min="14593" max="14594" width="3.625" style="46" customWidth="1"/>
    <col min="14595" max="14595" width="4.25" style="46" customWidth="1"/>
    <col min="14596" max="14596" width="5.625" style="46" customWidth="1"/>
    <col min="14597" max="14597" width="8.625" style="46" customWidth="1"/>
    <col min="14598" max="14598" width="5.625" style="46" customWidth="1"/>
    <col min="14599" max="14599" width="8.125" style="46" customWidth="1"/>
    <col min="14600" max="14600" width="5.125" style="46" customWidth="1"/>
    <col min="14601" max="14601" width="7.625" style="46" customWidth="1"/>
    <col min="14602" max="14602" width="5.125" style="46" customWidth="1"/>
    <col min="14603" max="14603" width="7.625" style="46" customWidth="1"/>
    <col min="14604" max="14604" width="5.125" style="46" customWidth="1"/>
    <col min="14605" max="14605" width="7.625" style="46" customWidth="1"/>
    <col min="14606" max="14606" width="5.125" style="46" customWidth="1"/>
    <col min="14607" max="14607" width="7.625" style="46" customWidth="1"/>
    <col min="14608" max="14848" width="9" style="46"/>
    <col min="14849" max="14850" width="3.625" style="46" customWidth="1"/>
    <col min="14851" max="14851" width="4.25" style="46" customWidth="1"/>
    <col min="14852" max="14852" width="5.625" style="46" customWidth="1"/>
    <col min="14853" max="14853" width="8.625" style="46" customWidth="1"/>
    <col min="14854" max="14854" width="5.625" style="46" customWidth="1"/>
    <col min="14855" max="14855" width="8.125" style="46" customWidth="1"/>
    <col min="14856" max="14856" width="5.125" style="46" customWidth="1"/>
    <col min="14857" max="14857" width="7.625" style="46" customWidth="1"/>
    <col min="14858" max="14858" width="5.125" style="46" customWidth="1"/>
    <col min="14859" max="14859" width="7.625" style="46" customWidth="1"/>
    <col min="14860" max="14860" width="5.125" style="46" customWidth="1"/>
    <col min="14861" max="14861" width="7.625" style="46" customWidth="1"/>
    <col min="14862" max="14862" width="5.125" style="46" customWidth="1"/>
    <col min="14863" max="14863" width="7.625" style="46" customWidth="1"/>
    <col min="14864" max="15104" width="9" style="46"/>
    <col min="15105" max="15106" width="3.625" style="46" customWidth="1"/>
    <col min="15107" max="15107" width="4.25" style="46" customWidth="1"/>
    <col min="15108" max="15108" width="5.625" style="46" customWidth="1"/>
    <col min="15109" max="15109" width="8.625" style="46" customWidth="1"/>
    <col min="15110" max="15110" width="5.625" style="46" customWidth="1"/>
    <col min="15111" max="15111" width="8.125" style="46" customWidth="1"/>
    <col min="15112" max="15112" width="5.125" style="46" customWidth="1"/>
    <col min="15113" max="15113" width="7.625" style="46" customWidth="1"/>
    <col min="15114" max="15114" width="5.125" style="46" customWidth="1"/>
    <col min="15115" max="15115" width="7.625" style="46" customWidth="1"/>
    <col min="15116" max="15116" width="5.125" style="46" customWidth="1"/>
    <col min="15117" max="15117" width="7.625" style="46" customWidth="1"/>
    <col min="15118" max="15118" width="5.125" style="46" customWidth="1"/>
    <col min="15119" max="15119" width="7.625" style="46" customWidth="1"/>
    <col min="15120" max="15360" width="9" style="46"/>
    <col min="15361" max="15362" width="3.625" style="46" customWidth="1"/>
    <col min="15363" max="15363" width="4.25" style="46" customWidth="1"/>
    <col min="15364" max="15364" width="5.625" style="46" customWidth="1"/>
    <col min="15365" max="15365" width="8.625" style="46" customWidth="1"/>
    <col min="15366" max="15366" width="5.625" style="46" customWidth="1"/>
    <col min="15367" max="15367" width="8.125" style="46" customWidth="1"/>
    <col min="15368" max="15368" width="5.125" style="46" customWidth="1"/>
    <col min="15369" max="15369" width="7.625" style="46" customWidth="1"/>
    <col min="15370" max="15370" width="5.125" style="46" customWidth="1"/>
    <col min="15371" max="15371" width="7.625" style="46" customWidth="1"/>
    <col min="15372" max="15372" width="5.125" style="46" customWidth="1"/>
    <col min="15373" max="15373" width="7.625" style="46" customWidth="1"/>
    <col min="15374" max="15374" width="5.125" style="46" customWidth="1"/>
    <col min="15375" max="15375" width="7.625" style="46" customWidth="1"/>
    <col min="15376" max="15616" width="9" style="46"/>
    <col min="15617" max="15618" width="3.625" style="46" customWidth="1"/>
    <col min="15619" max="15619" width="4.25" style="46" customWidth="1"/>
    <col min="15620" max="15620" width="5.625" style="46" customWidth="1"/>
    <col min="15621" max="15621" width="8.625" style="46" customWidth="1"/>
    <col min="15622" max="15622" width="5.625" style="46" customWidth="1"/>
    <col min="15623" max="15623" width="8.125" style="46" customWidth="1"/>
    <col min="15624" max="15624" width="5.125" style="46" customWidth="1"/>
    <col min="15625" max="15625" width="7.625" style="46" customWidth="1"/>
    <col min="15626" max="15626" width="5.125" style="46" customWidth="1"/>
    <col min="15627" max="15627" width="7.625" style="46" customWidth="1"/>
    <col min="15628" max="15628" width="5.125" style="46" customWidth="1"/>
    <col min="15629" max="15629" width="7.625" style="46" customWidth="1"/>
    <col min="15630" max="15630" width="5.125" style="46" customWidth="1"/>
    <col min="15631" max="15631" width="7.625" style="46" customWidth="1"/>
    <col min="15632" max="15872" width="9" style="46"/>
    <col min="15873" max="15874" width="3.625" style="46" customWidth="1"/>
    <col min="15875" max="15875" width="4.25" style="46" customWidth="1"/>
    <col min="15876" max="15876" width="5.625" style="46" customWidth="1"/>
    <col min="15877" max="15877" width="8.625" style="46" customWidth="1"/>
    <col min="15878" max="15878" width="5.625" style="46" customWidth="1"/>
    <col min="15879" max="15879" width="8.125" style="46" customWidth="1"/>
    <col min="15880" max="15880" width="5.125" style="46" customWidth="1"/>
    <col min="15881" max="15881" width="7.625" style="46" customWidth="1"/>
    <col min="15882" max="15882" width="5.125" style="46" customWidth="1"/>
    <col min="15883" max="15883" width="7.625" style="46" customWidth="1"/>
    <col min="15884" max="15884" width="5.125" style="46" customWidth="1"/>
    <col min="15885" max="15885" width="7.625" style="46" customWidth="1"/>
    <col min="15886" max="15886" width="5.125" style="46" customWidth="1"/>
    <col min="15887" max="15887" width="7.625" style="46" customWidth="1"/>
    <col min="15888" max="16128" width="9" style="46"/>
    <col min="16129" max="16130" width="3.625" style="46" customWidth="1"/>
    <col min="16131" max="16131" width="4.25" style="46" customWidth="1"/>
    <col min="16132" max="16132" width="5.625" style="46" customWidth="1"/>
    <col min="16133" max="16133" width="8.625" style="46" customWidth="1"/>
    <col min="16134" max="16134" width="5.625" style="46" customWidth="1"/>
    <col min="16135" max="16135" width="8.125" style="46" customWidth="1"/>
    <col min="16136" max="16136" width="5.125" style="46" customWidth="1"/>
    <col min="16137" max="16137" width="7.625" style="46" customWidth="1"/>
    <col min="16138" max="16138" width="5.125" style="46" customWidth="1"/>
    <col min="16139" max="16139" width="7.625" style="46" customWidth="1"/>
    <col min="16140" max="16140" width="5.125" style="46" customWidth="1"/>
    <col min="16141" max="16141" width="7.625" style="46" customWidth="1"/>
    <col min="16142" max="16142" width="5.125" style="46" customWidth="1"/>
    <col min="16143" max="16143" width="7.625" style="46" customWidth="1"/>
    <col min="16144" max="16384" width="9" style="46"/>
  </cols>
  <sheetData>
    <row r="1" spans="1:15" ht="30" customHeight="1">
      <c r="A1" s="149" t="s">
        <v>150</v>
      </c>
      <c r="B1" s="149"/>
    </row>
    <row r="2" spans="1:15" ht="18" customHeight="1">
      <c r="A2" s="46">
        <v>1</v>
      </c>
      <c r="B2" s="46" t="s">
        <v>151</v>
      </c>
    </row>
    <row r="3" spans="1:15" s="150" customFormat="1" ht="15" customHeight="1">
      <c r="B3" s="552" t="s">
        <v>23</v>
      </c>
      <c r="C3" s="552"/>
      <c r="D3" s="604" t="s">
        <v>26</v>
      </c>
      <c r="E3" s="605"/>
      <c r="F3" s="602" t="s">
        <v>152</v>
      </c>
      <c r="G3" s="603"/>
      <c r="H3" s="602" t="s">
        <v>153</v>
      </c>
      <c r="I3" s="603"/>
      <c r="J3" s="602" t="s">
        <v>154</v>
      </c>
      <c r="K3" s="603"/>
      <c r="L3" s="602" t="s">
        <v>155</v>
      </c>
      <c r="M3" s="603"/>
      <c r="N3" s="602" t="s">
        <v>156</v>
      </c>
      <c r="O3" s="603"/>
    </row>
    <row r="4" spans="1:15" s="150" customFormat="1" ht="15" customHeight="1">
      <c r="B4" s="552"/>
      <c r="C4" s="552"/>
      <c r="D4" s="151" t="s">
        <v>157</v>
      </c>
      <c r="E4" s="152" t="s">
        <v>158</v>
      </c>
      <c r="F4" s="151" t="s">
        <v>157</v>
      </c>
      <c r="G4" s="152" t="s">
        <v>158</v>
      </c>
      <c r="H4" s="153" t="s">
        <v>157</v>
      </c>
      <c r="I4" s="152" t="s">
        <v>158</v>
      </c>
      <c r="J4" s="153" t="s">
        <v>157</v>
      </c>
      <c r="K4" s="152" t="s">
        <v>158</v>
      </c>
      <c r="L4" s="153" t="s">
        <v>157</v>
      </c>
      <c r="M4" s="152" t="s">
        <v>158</v>
      </c>
      <c r="N4" s="153" t="s">
        <v>157</v>
      </c>
      <c r="O4" s="152" t="s">
        <v>158</v>
      </c>
    </row>
    <row r="5" spans="1:15" s="154" customFormat="1" ht="15" hidden="1" customHeight="1">
      <c r="B5" s="595" t="s">
        <v>159</v>
      </c>
      <c r="C5" s="595"/>
      <c r="D5" s="155">
        <f t="shared" ref="D5:O5" si="0">SUM(D6:D7)</f>
        <v>4322</v>
      </c>
      <c r="E5" s="156">
        <f t="shared" si="0"/>
        <v>1296889</v>
      </c>
      <c r="F5" s="155">
        <f t="shared" si="0"/>
        <v>4002</v>
      </c>
      <c r="G5" s="156">
        <f t="shared" si="0"/>
        <v>391584</v>
      </c>
      <c r="H5" s="157">
        <f t="shared" si="0"/>
        <v>210</v>
      </c>
      <c r="I5" s="156">
        <f t="shared" si="0"/>
        <v>433646</v>
      </c>
      <c r="J5" s="157">
        <f t="shared" si="0"/>
        <v>97</v>
      </c>
      <c r="K5" s="156">
        <f t="shared" si="0"/>
        <v>339093</v>
      </c>
      <c r="L5" s="157">
        <f t="shared" si="0"/>
        <v>8</v>
      </c>
      <c r="M5" s="156">
        <f t="shared" si="0"/>
        <v>63918</v>
      </c>
      <c r="N5" s="157">
        <f t="shared" si="0"/>
        <v>5</v>
      </c>
      <c r="O5" s="156">
        <f t="shared" si="0"/>
        <v>68648</v>
      </c>
    </row>
    <row r="6" spans="1:15" s="154" customFormat="1" ht="15" hidden="1" customHeight="1">
      <c r="B6" s="593"/>
      <c r="C6" s="158" t="s">
        <v>160</v>
      </c>
      <c r="D6" s="159">
        <f>+F6+H6+J6+L6+N6</f>
        <v>4279</v>
      </c>
      <c r="E6" s="160">
        <f>+G6+I6+K6+M6+O6</f>
        <v>1065611</v>
      </c>
      <c r="F6" s="161">
        <f>3423+379+199</f>
        <v>4001</v>
      </c>
      <c r="G6" s="162">
        <f>104093+135106+151991</f>
        <v>391190</v>
      </c>
      <c r="H6" s="163">
        <v>194</v>
      </c>
      <c r="I6" s="164">
        <v>399660</v>
      </c>
      <c r="J6" s="163">
        <v>84</v>
      </c>
      <c r="K6" s="164">
        <v>274761</v>
      </c>
      <c r="L6" s="163">
        <v>0</v>
      </c>
      <c r="M6" s="164">
        <v>0</v>
      </c>
      <c r="N6" s="163">
        <v>0</v>
      </c>
      <c r="O6" s="164">
        <v>0</v>
      </c>
    </row>
    <row r="7" spans="1:15" s="154" customFormat="1" ht="15" hidden="1" customHeight="1">
      <c r="B7" s="594"/>
      <c r="C7" s="165" t="s">
        <v>161</v>
      </c>
      <c r="D7" s="166">
        <f>+F7+H7+J7+L7+N7</f>
        <v>43</v>
      </c>
      <c r="E7" s="167">
        <f>+G7+I7+K7+M7+O7</f>
        <v>231278</v>
      </c>
      <c r="F7" s="168">
        <v>1</v>
      </c>
      <c r="G7" s="169">
        <v>394</v>
      </c>
      <c r="H7" s="166">
        <v>16</v>
      </c>
      <c r="I7" s="167">
        <v>33986</v>
      </c>
      <c r="J7" s="166">
        <v>13</v>
      </c>
      <c r="K7" s="167">
        <v>64332</v>
      </c>
      <c r="L7" s="166">
        <v>8</v>
      </c>
      <c r="M7" s="167">
        <v>63918</v>
      </c>
      <c r="N7" s="166">
        <v>5</v>
      </c>
      <c r="O7" s="167">
        <v>68648</v>
      </c>
    </row>
    <row r="8" spans="1:15" s="154" customFormat="1" ht="15" hidden="1" customHeight="1">
      <c r="B8" s="595" t="s">
        <v>162</v>
      </c>
      <c r="C8" s="595"/>
      <c r="D8" s="155">
        <f t="shared" ref="D8:O8" si="1">SUM(D9:D10)</f>
        <v>4146</v>
      </c>
      <c r="E8" s="156">
        <f t="shared" si="1"/>
        <v>1820609</v>
      </c>
      <c r="F8" s="155">
        <f t="shared" si="1"/>
        <v>3758</v>
      </c>
      <c r="G8" s="156">
        <f t="shared" si="1"/>
        <v>382132</v>
      </c>
      <c r="H8" s="157">
        <f t="shared" si="1"/>
        <v>285</v>
      </c>
      <c r="I8" s="156">
        <f t="shared" si="1"/>
        <v>568606</v>
      </c>
      <c r="J8" s="157">
        <f t="shared" si="1"/>
        <v>82</v>
      </c>
      <c r="K8" s="156">
        <f t="shared" si="1"/>
        <v>287540</v>
      </c>
      <c r="L8" s="157">
        <f t="shared" si="1"/>
        <v>12</v>
      </c>
      <c r="M8" s="156">
        <f t="shared" si="1"/>
        <v>98221</v>
      </c>
      <c r="N8" s="157">
        <f t="shared" si="1"/>
        <v>9</v>
      </c>
      <c r="O8" s="156">
        <f t="shared" si="1"/>
        <v>484110</v>
      </c>
    </row>
    <row r="9" spans="1:15" s="154" customFormat="1" ht="15" hidden="1" customHeight="1">
      <c r="B9" s="593"/>
      <c r="C9" s="158" t="s">
        <v>160</v>
      </c>
      <c r="D9" s="159">
        <f>+F9+H9+J9+L9+N9</f>
        <v>4104</v>
      </c>
      <c r="E9" s="160">
        <f>+G9+I9+K9+M9+O9</f>
        <v>1288260</v>
      </c>
      <c r="F9" s="161">
        <f>3186+356+216</f>
        <v>3758</v>
      </c>
      <c r="G9" s="162">
        <f>98248+118027+165857</f>
        <v>382132</v>
      </c>
      <c r="H9" s="163">
        <v>274</v>
      </c>
      <c r="I9" s="164">
        <v>546086</v>
      </c>
      <c r="J9" s="163">
        <v>70</v>
      </c>
      <c r="K9" s="164">
        <v>224994</v>
      </c>
      <c r="L9" s="163">
        <v>0</v>
      </c>
      <c r="M9" s="164">
        <v>0</v>
      </c>
      <c r="N9" s="163">
        <v>2</v>
      </c>
      <c r="O9" s="164">
        <v>135048</v>
      </c>
    </row>
    <row r="10" spans="1:15" s="154" customFormat="1" ht="15" hidden="1" customHeight="1">
      <c r="B10" s="594"/>
      <c r="C10" s="165" t="s">
        <v>161</v>
      </c>
      <c r="D10" s="166">
        <f>+F10+H10+J10+L10+N10</f>
        <v>42</v>
      </c>
      <c r="E10" s="167">
        <f>+G10+I10+K10+M10+O10</f>
        <v>532349</v>
      </c>
      <c r="F10" s="168">
        <v>0</v>
      </c>
      <c r="G10" s="169">
        <v>0</v>
      </c>
      <c r="H10" s="166">
        <v>11</v>
      </c>
      <c r="I10" s="167">
        <v>22520</v>
      </c>
      <c r="J10" s="166">
        <v>12</v>
      </c>
      <c r="K10" s="167">
        <v>62546</v>
      </c>
      <c r="L10" s="166">
        <v>12</v>
      </c>
      <c r="M10" s="167">
        <v>98221</v>
      </c>
      <c r="N10" s="166">
        <v>7</v>
      </c>
      <c r="O10" s="167">
        <v>349062</v>
      </c>
    </row>
    <row r="11" spans="1:15" s="154" customFormat="1" ht="15" hidden="1" customHeight="1">
      <c r="B11" s="595" t="s">
        <v>31</v>
      </c>
      <c r="C11" s="595"/>
      <c r="D11" s="155">
        <f t="shared" ref="D11:O11" si="2">SUM(D12:D13)</f>
        <v>3538</v>
      </c>
      <c r="E11" s="156">
        <f t="shared" si="2"/>
        <v>1240116</v>
      </c>
      <c r="F11" s="155">
        <f t="shared" si="2"/>
        <v>3150</v>
      </c>
      <c r="G11" s="156">
        <f t="shared" si="2"/>
        <v>343946</v>
      </c>
      <c r="H11" s="157">
        <f t="shared" si="2"/>
        <v>326</v>
      </c>
      <c r="I11" s="156">
        <f t="shared" si="2"/>
        <v>623635</v>
      </c>
      <c r="J11" s="157">
        <f t="shared" si="2"/>
        <v>54</v>
      </c>
      <c r="K11" s="156">
        <f t="shared" si="2"/>
        <v>197522</v>
      </c>
      <c r="L11" s="157">
        <f t="shared" si="2"/>
        <v>3</v>
      </c>
      <c r="M11" s="156">
        <f t="shared" si="2"/>
        <v>22908</v>
      </c>
      <c r="N11" s="157">
        <f t="shared" si="2"/>
        <v>5</v>
      </c>
      <c r="O11" s="156">
        <f t="shared" si="2"/>
        <v>52105</v>
      </c>
    </row>
    <row r="12" spans="1:15" s="154" customFormat="1" ht="0.75" customHeight="1">
      <c r="B12" s="593"/>
      <c r="C12" s="158" t="s">
        <v>160</v>
      </c>
      <c r="D12" s="159">
        <f>+F12+H12+J12+L12+N12</f>
        <v>3491</v>
      </c>
      <c r="E12" s="160">
        <f>+G12+I12+K12+M12+O12</f>
        <v>1036465</v>
      </c>
      <c r="F12" s="161">
        <f>2622+301+226</f>
        <v>3149</v>
      </c>
      <c r="G12" s="162">
        <f>81998+87775+173917</f>
        <v>343690</v>
      </c>
      <c r="H12" s="163">
        <v>305</v>
      </c>
      <c r="I12" s="164">
        <v>572601</v>
      </c>
      <c r="J12" s="163">
        <v>37</v>
      </c>
      <c r="K12" s="164">
        <v>120174</v>
      </c>
      <c r="L12" s="163">
        <v>0</v>
      </c>
      <c r="M12" s="164">
        <v>0</v>
      </c>
      <c r="N12" s="163">
        <v>0</v>
      </c>
      <c r="O12" s="164">
        <v>0</v>
      </c>
    </row>
    <row r="13" spans="1:15" s="154" customFormat="1" ht="15" hidden="1" customHeight="1">
      <c r="B13" s="594"/>
      <c r="C13" s="165" t="s">
        <v>161</v>
      </c>
      <c r="D13" s="166">
        <f>+F13+H13+J13+L13+N13</f>
        <v>47</v>
      </c>
      <c r="E13" s="167">
        <f>+G13+I13+K13+M13+O13</f>
        <v>203651</v>
      </c>
      <c r="F13" s="168">
        <v>1</v>
      </c>
      <c r="G13" s="169">
        <v>256</v>
      </c>
      <c r="H13" s="166">
        <v>21</v>
      </c>
      <c r="I13" s="167">
        <v>51034</v>
      </c>
      <c r="J13" s="166">
        <v>17</v>
      </c>
      <c r="K13" s="167">
        <v>77348</v>
      </c>
      <c r="L13" s="166">
        <v>3</v>
      </c>
      <c r="M13" s="167">
        <v>22908</v>
      </c>
      <c r="N13" s="166">
        <v>5</v>
      </c>
      <c r="O13" s="167">
        <v>52105</v>
      </c>
    </row>
    <row r="14" spans="1:15" s="154" customFormat="1" ht="15" hidden="1" customHeight="1">
      <c r="B14" s="595" t="s">
        <v>35</v>
      </c>
      <c r="C14" s="595"/>
      <c r="D14" s="155">
        <f t="shared" ref="D14:O14" si="3">SUM(D15:D16)</f>
        <v>3455</v>
      </c>
      <c r="E14" s="156">
        <f t="shared" si="3"/>
        <v>1285500</v>
      </c>
      <c r="F14" s="155">
        <f t="shared" si="3"/>
        <v>3052</v>
      </c>
      <c r="G14" s="156">
        <f t="shared" si="3"/>
        <v>301229</v>
      </c>
      <c r="H14" s="157">
        <f t="shared" si="3"/>
        <v>317</v>
      </c>
      <c r="I14" s="156">
        <f t="shared" si="3"/>
        <v>566602</v>
      </c>
      <c r="J14" s="157">
        <f t="shared" si="3"/>
        <v>71</v>
      </c>
      <c r="K14" s="156">
        <f t="shared" si="3"/>
        <v>254774</v>
      </c>
      <c r="L14" s="157">
        <f t="shared" si="3"/>
        <v>8</v>
      </c>
      <c r="M14" s="156">
        <f t="shared" si="3"/>
        <v>61856</v>
      </c>
      <c r="N14" s="157">
        <f t="shared" si="3"/>
        <v>7</v>
      </c>
      <c r="O14" s="156">
        <f t="shared" si="3"/>
        <v>101039</v>
      </c>
    </row>
    <row r="15" spans="1:15" s="154" customFormat="1" ht="15" hidden="1" customHeight="1">
      <c r="B15" s="593"/>
      <c r="C15" s="158" t="s">
        <v>160</v>
      </c>
      <c r="D15" s="159">
        <f>+F15+H15+J15+L15+N15</f>
        <v>3412</v>
      </c>
      <c r="E15" s="160">
        <f>+G15+I15+K15+M15+O15</f>
        <v>1058535</v>
      </c>
      <c r="F15" s="161">
        <f>2641+205+206</f>
        <v>3052</v>
      </c>
      <c r="G15" s="162">
        <f>80629+60775+159825</f>
        <v>301229</v>
      </c>
      <c r="H15" s="163">
        <v>304</v>
      </c>
      <c r="I15" s="164">
        <v>533828</v>
      </c>
      <c r="J15" s="163">
        <v>53</v>
      </c>
      <c r="K15" s="164">
        <v>176048</v>
      </c>
      <c r="L15" s="163">
        <v>0</v>
      </c>
      <c r="M15" s="164">
        <v>0</v>
      </c>
      <c r="N15" s="163">
        <v>3</v>
      </c>
      <c r="O15" s="164">
        <v>47430</v>
      </c>
    </row>
    <row r="16" spans="1:15" s="154" customFormat="1" ht="15" hidden="1" customHeight="1">
      <c r="B16" s="594"/>
      <c r="C16" s="165" t="s">
        <v>161</v>
      </c>
      <c r="D16" s="166">
        <f>+F16+H16+J16+L16+N16</f>
        <v>43</v>
      </c>
      <c r="E16" s="167">
        <f>+G16+I16+K16+M16+O16</f>
        <v>226965</v>
      </c>
      <c r="F16" s="168">
        <v>0</v>
      </c>
      <c r="G16" s="169">
        <v>0</v>
      </c>
      <c r="H16" s="166">
        <v>13</v>
      </c>
      <c r="I16" s="167">
        <v>32774</v>
      </c>
      <c r="J16" s="166">
        <v>18</v>
      </c>
      <c r="K16" s="167">
        <v>78726</v>
      </c>
      <c r="L16" s="166">
        <v>8</v>
      </c>
      <c r="M16" s="167">
        <v>61856</v>
      </c>
      <c r="N16" s="166">
        <v>4</v>
      </c>
      <c r="O16" s="167">
        <v>53609</v>
      </c>
    </row>
    <row r="17" spans="2:15" s="154" customFormat="1" ht="15" hidden="1" customHeight="1">
      <c r="B17" s="595" t="s">
        <v>36</v>
      </c>
      <c r="C17" s="595"/>
      <c r="D17" s="155">
        <f t="shared" ref="D17:O17" si="4">SUM(D18:D19)</f>
        <v>3164</v>
      </c>
      <c r="E17" s="156">
        <f t="shared" si="4"/>
        <v>1356742</v>
      </c>
      <c r="F17" s="155">
        <f t="shared" si="4"/>
        <v>2782</v>
      </c>
      <c r="G17" s="156">
        <f t="shared" si="4"/>
        <v>289603</v>
      </c>
      <c r="H17" s="157">
        <f t="shared" si="4"/>
        <v>270</v>
      </c>
      <c r="I17" s="156">
        <f t="shared" si="4"/>
        <v>493537</v>
      </c>
      <c r="J17" s="157">
        <f t="shared" si="4"/>
        <v>94</v>
      </c>
      <c r="K17" s="156">
        <f t="shared" si="4"/>
        <v>349493</v>
      </c>
      <c r="L17" s="157">
        <f t="shared" si="4"/>
        <v>11</v>
      </c>
      <c r="M17" s="156">
        <f t="shared" si="4"/>
        <v>82604</v>
      </c>
      <c r="N17" s="157">
        <f t="shared" si="4"/>
        <v>7</v>
      </c>
      <c r="O17" s="156">
        <f t="shared" si="4"/>
        <v>141505</v>
      </c>
    </row>
    <row r="18" spans="2:15" s="154" customFormat="1" ht="15" hidden="1" customHeight="1">
      <c r="B18" s="593"/>
      <c r="C18" s="158" t="s">
        <v>160</v>
      </c>
      <c r="D18" s="159">
        <f>+F18+H18+J18+L18+N18</f>
        <v>3121</v>
      </c>
      <c r="E18" s="160">
        <f>+G18+I18+K18+M18+O18</f>
        <v>1121226</v>
      </c>
      <c r="F18" s="161">
        <f>2364+250+167</f>
        <v>2781</v>
      </c>
      <c r="G18" s="162">
        <f>75599+79082+134202</f>
        <v>288883</v>
      </c>
      <c r="H18" s="163">
        <v>261</v>
      </c>
      <c r="I18" s="164">
        <v>476680</v>
      </c>
      <c r="J18" s="163">
        <v>77</v>
      </c>
      <c r="K18" s="164">
        <v>283093</v>
      </c>
      <c r="L18" s="163">
        <v>0</v>
      </c>
      <c r="M18" s="164">
        <v>0</v>
      </c>
      <c r="N18" s="163">
        <v>2</v>
      </c>
      <c r="O18" s="164">
        <v>72570</v>
      </c>
    </row>
    <row r="19" spans="2:15" s="154" customFormat="1" ht="15" hidden="1" customHeight="1">
      <c r="B19" s="594"/>
      <c r="C19" s="165" t="s">
        <v>161</v>
      </c>
      <c r="D19" s="166">
        <f>+F19+H19+J19+L19+N19</f>
        <v>43</v>
      </c>
      <c r="E19" s="167">
        <f>+G19+I19+K19+M19+O19</f>
        <v>235516</v>
      </c>
      <c r="F19" s="168">
        <v>1</v>
      </c>
      <c r="G19" s="169">
        <v>720</v>
      </c>
      <c r="H19" s="166">
        <v>9</v>
      </c>
      <c r="I19" s="167">
        <v>16857</v>
      </c>
      <c r="J19" s="166">
        <v>17</v>
      </c>
      <c r="K19" s="167">
        <v>66400</v>
      </c>
      <c r="L19" s="166">
        <v>11</v>
      </c>
      <c r="M19" s="167">
        <v>82604</v>
      </c>
      <c r="N19" s="166">
        <v>5</v>
      </c>
      <c r="O19" s="167">
        <v>68935</v>
      </c>
    </row>
    <row r="20" spans="2:15" s="176" customFormat="1" ht="15" customHeight="1">
      <c r="B20" s="595" t="s">
        <v>38</v>
      </c>
      <c r="C20" s="595"/>
      <c r="D20" s="170">
        <f>SUM(D21:D22)</f>
        <v>3414</v>
      </c>
      <c r="E20" s="171">
        <f>SUM(E21:E22)</f>
        <v>1510395</v>
      </c>
      <c r="F20" s="172">
        <v>3037</v>
      </c>
      <c r="G20" s="173">
        <v>299918</v>
      </c>
      <c r="H20" s="174">
        <f t="shared" ref="H20:O20" si="5">SUM(H21:H22)</f>
        <v>180</v>
      </c>
      <c r="I20" s="175">
        <f t="shared" si="5"/>
        <v>345329</v>
      </c>
      <c r="J20" s="174">
        <f t="shared" si="5"/>
        <v>184</v>
      </c>
      <c r="K20" s="175">
        <f t="shared" si="5"/>
        <v>730648</v>
      </c>
      <c r="L20" s="174">
        <f t="shared" si="5"/>
        <v>6</v>
      </c>
      <c r="M20" s="175">
        <f t="shared" si="5"/>
        <v>44579</v>
      </c>
      <c r="N20" s="174">
        <f t="shared" si="5"/>
        <v>7</v>
      </c>
      <c r="O20" s="175">
        <f t="shared" si="5"/>
        <v>89921</v>
      </c>
    </row>
    <row r="21" spans="2:15" s="154" customFormat="1" ht="15" hidden="1" customHeight="1">
      <c r="B21" s="593"/>
      <c r="C21" s="158" t="s">
        <v>160</v>
      </c>
      <c r="D21" s="177">
        <v>3368</v>
      </c>
      <c r="E21" s="164">
        <v>1298712</v>
      </c>
      <c r="F21" s="161">
        <v>3033</v>
      </c>
      <c r="G21" s="162">
        <v>296802</v>
      </c>
      <c r="H21" s="159">
        <v>166</v>
      </c>
      <c r="I21" s="160">
        <v>322664</v>
      </c>
      <c r="J21" s="159">
        <v>168</v>
      </c>
      <c r="K21" s="160">
        <v>657343</v>
      </c>
      <c r="L21" s="159">
        <v>0</v>
      </c>
      <c r="M21" s="160">
        <v>0</v>
      </c>
      <c r="N21" s="159">
        <v>1</v>
      </c>
      <c r="O21" s="160">
        <v>21903</v>
      </c>
    </row>
    <row r="22" spans="2:15" s="154" customFormat="1" ht="15" hidden="1" customHeight="1">
      <c r="B22" s="594"/>
      <c r="C22" s="165" t="s">
        <v>161</v>
      </c>
      <c r="D22" s="178">
        <v>46</v>
      </c>
      <c r="E22" s="167">
        <v>211683</v>
      </c>
      <c r="F22" s="168">
        <v>4</v>
      </c>
      <c r="G22" s="169">
        <v>3116</v>
      </c>
      <c r="H22" s="166">
        <v>14</v>
      </c>
      <c r="I22" s="167">
        <v>22665</v>
      </c>
      <c r="J22" s="166">
        <v>16</v>
      </c>
      <c r="K22" s="167">
        <v>73305</v>
      </c>
      <c r="L22" s="166">
        <v>6</v>
      </c>
      <c r="M22" s="167">
        <v>44579</v>
      </c>
      <c r="N22" s="166">
        <v>6</v>
      </c>
      <c r="O22" s="167">
        <v>68018</v>
      </c>
    </row>
    <row r="23" spans="2:15" s="176" customFormat="1" ht="15" customHeight="1">
      <c r="B23" s="601" t="s">
        <v>39</v>
      </c>
      <c r="C23" s="601"/>
      <c r="D23" s="170">
        <v>3055</v>
      </c>
      <c r="E23" s="171">
        <v>1508310</v>
      </c>
      <c r="F23" s="170">
        <v>2659</v>
      </c>
      <c r="G23" s="171">
        <v>291182</v>
      </c>
      <c r="H23" s="174">
        <v>220</v>
      </c>
      <c r="I23" s="175">
        <v>449394</v>
      </c>
      <c r="J23" s="174">
        <v>165</v>
      </c>
      <c r="K23" s="175">
        <v>654624</v>
      </c>
      <c r="L23" s="174">
        <v>5</v>
      </c>
      <c r="M23" s="175">
        <v>39959</v>
      </c>
      <c r="N23" s="174">
        <v>6</v>
      </c>
      <c r="O23" s="175">
        <v>73151</v>
      </c>
    </row>
    <row r="24" spans="2:15" s="154" customFormat="1" ht="15" hidden="1" customHeight="1">
      <c r="B24" s="593"/>
      <c r="C24" s="179" t="s">
        <v>160</v>
      </c>
      <c r="D24" s="177">
        <v>2977</v>
      </c>
      <c r="E24" s="164">
        <v>1216165</v>
      </c>
      <c r="F24" s="161">
        <v>2655</v>
      </c>
      <c r="G24" s="162">
        <v>287665</v>
      </c>
      <c r="H24" s="159">
        <v>181</v>
      </c>
      <c r="I24" s="160">
        <v>369358</v>
      </c>
      <c r="J24" s="159">
        <v>139</v>
      </c>
      <c r="K24" s="160">
        <v>543814</v>
      </c>
      <c r="L24" s="159">
        <v>2</v>
      </c>
      <c r="M24" s="160">
        <v>15328</v>
      </c>
      <c r="N24" s="159">
        <v>0</v>
      </c>
      <c r="O24" s="160">
        <v>0</v>
      </c>
    </row>
    <row r="25" spans="2:15" s="154" customFormat="1" ht="15" hidden="1" customHeight="1">
      <c r="B25" s="594"/>
      <c r="C25" s="165" t="s">
        <v>161</v>
      </c>
      <c r="D25" s="178">
        <v>78</v>
      </c>
      <c r="E25" s="167">
        <v>292145</v>
      </c>
      <c r="F25" s="168">
        <v>4</v>
      </c>
      <c r="G25" s="169">
        <v>3517</v>
      </c>
      <c r="H25" s="166">
        <v>39</v>
      </c>
      <c r="I25" s="167">
        <v>80036</v>
      </c>
      <c r="J25" s="166">
        <v>26</v>
      </c>
      <c r="K25" s="167">
        <v>110810</v>
      </c>
      <c r="L25" s="166">
        <v>3</v>
      </c>
      <c r="M25" s="167">
        <v>24631</v>
      </c>
      <c r="N25" s="166">
        <v>6</v>
      </c>
      <c r="O25" s="167">
        <v>73151</v>
      </c>
    </row>
    <row r="26" spans="2:15" s="176" customFormat="1" ht="15" customHeight="1">
      <c r="B26" s="601" t="s">
        <v>40</v>
      </c>
      <c r="C26" s="601"/>
      <c r="D26" s="170">
        <f t="shared" ref="D26:O26" si="6">SUM(D27:D28)</f>
        <v>3105</v>
      </c>
      <c r="E26" s="171">
        <f t="shared" si="6"/>
        <v>1611129</v>
      </c>
      <c r="F26" s="170">
        <f t="shared" si="6"/>
        <v>2737</v>
      </c>
      <c r="G26" s="171">
        <f t="shared" si="6"/>
        <v>336373</v>
      </c>
      <c r="H26" s="174">
        <f t="shared" si="6"/>
        <v>156</v>
      </c>
      <c r="I26" s="175">
        <f t="shared" si="6"/>
        <v>341376</v>
      </c>
      <c r="J26" s="174">
        <f t="shared" si="6"/>
        <v>198</v>
      </c>
      <c r="K26" s="175">
        <f t="shared" si="6"/>
        <v>784079</v>
      </c>
      <c r="L26" s="174">
        <f t="shared" si="6"/>
        <v>11</v>
      </c>
      <c r="M26" s="175">
        <f t="shared" si="6"/>
        <v>85648</v>
      </c>
      <c r="N26" s="174">
        <f t="shared" si="6"/>
        <v>3</v>
      </c>
      <c r="O26" s="175">
        <f t="shared" si="6"/>
        <v>63653</v>
      </c>
    </row>
    <row r="27" spans="2:15" s="154" customFormat="1" ht="15" hidden="1" customHeight="1">
      <c r="B27" s="593"/>
      <c r="C27" s="179" t="s">
        <v>160</v>
      </c>
      <c r="D27" s="177">
        <v>3004</v>
      </c>
      <c r="E27" s="164">
        <v>1298627</v>
      </c>
      <c r="F27" s="161">
        <v>2728</v>
      </c>
      <c r="G27" s="162">
        <v>328694</v>
      </c>
      <c r="H27" s="159">
        <v>105</v>
      </c>
      <c r="I27" s="160">
        <v>248796</v>
      </c>
      <c r="J27" s="159">
        <v>161</v>
      </c>
      <c r="K27" s="160">
        <v>631227</v>
      </c>
      <c r="L27" s="159">
        <v>9</v>
      </c>
      <c r="M27" s="160">
        <v>66675</v>
      </c>
      <c r="N27" s="159">
        <v>1</v>
      </c>
      <c r="O27" s="160">
        <v>23235</v>
      </c>
    </row>
    <row r="28" spans="2:15" s="154" customFormat="1" ht="15" hidden="1" customHeight="1">
      <c r="B28" s="594"/>
      <c r="C28" s="165" t="s">
        <v>161</v>
      </c>
      <c r="D28" s="178">
        <v>101</v>
      </c>
      <c r="E28" s="167">
        <v>312502</v>
      </c>
      <c r="F28" s="168">
        <v>9</v>
      </c>
      <c r="G28" s="169">
        <v>7679</v>
      </c>
      <c r="H28" s="166">
        <v>51</v>
      </c>
      <c r="I28" s="167">
        <v>92580</v>
      </c>
      <c r="J28" s="166">
        <v>37</v>
      </c>
      <c r="K28" s="167">
        <v>152852</v>
      </c>
      <c r="L28" s="166">
        <v>2</v>
      </c>
      <c r="M28" s="167">
        <v>18973</v>
      </c>
      <c r="N28" s="166">
        <v>2</v>
      </c>
      <c r="O28" s="167">
        <v>40418</v>
      </c>
    </row>
    <row r="29" spans="2:15" s="176" customFormat="1" ht="15" customHeight="1">
      <c r="B29" s="601" t="s">
        <v>41</v>
      </c>
      <c r="C29" s="601"/>
      <c r="D29" s="170">
        <f t="shared" ref="D29:O29" si="7">SUM(D30:D31)</f>
        <v>3308</v>
      </c>
      <c r="E29" s="171">
        <f t="shared" si="7"/>
        <v>2022004</v>
      </c>
      <c r="F29" s="170">
        <f t="shared" si="7"/>
        <v>2810</v>
      </c>
      <c r="G29" s="171">
        <f t="shared" si="7"/>
        <v>326157</v>
      </c>
      <c r="H29" s="174">
        <f t="shared" si="7"/>
        <v>261</v>
      </c>
      <c r="I29" s="175">
        <f t="shared" si="7"/>
        <v>585655</v>
      </c>
      <c r="J29" s="174">
        <f t="shared" si="7"/>
        <v>223</v>
      </c>
      <c r="K29" s="175">
        <f t="shared" si="7"/>
        <v>881507</v>
      </c>
      <c r="L29" s="174">
        <f t="shared" si="7"/>
        <v>3</v>
      </c>
      <c r="M29" s="175">
        <f t="shared" si="7"/>
        <v>28073</v>
      </c>
      <c r="N29" s="174">
        <f t="shared" si="7"/>
        <v>11</v>
      </c>
      <c r="O29" s="175">
        <f t="shared" si="7"/>
        <v>200612</v>
      </c>
    </row>
    <row r="30" spans="2:15" s="154" customFormat="1" ht="15" hidden="1" customHeight="1">
      <c r="B30" s="593"/>
      <c r="C30" s="179" t="s">
        <v>160</v>
      </c>
      <c r="D30" s="177">
        <f>+F30+H30+J30+L30+N30</f>
        <v>3116</v>
      </c>
      <c r="E30" s="164">
        <f>+G30+I30+K30+M30+O30</f>
        <v>1409327</v>
      </c>
      <c r="F30" s="161">
        <v>2800</v>
      </c>
      <c r="G30" s="162">
        <v>317130</v>
      </c>
      <c r="H30" s="159">
        <v>149</v>
      </c>
      <c r="I30" s="160">
        <v>362255</v>
      </c>
      <c r="J30" s="159">
        <v>165</v>
      </c>
      <c r="K30" s="160">
        <v>652757</v>
      </c>
      <c r="L30" s="159">
        <v>0</v>
      </c>
      <c r="M30" s="160">
        <v>0</v>
      </c>
      <c r="N30" s="159">
        <v>2</v>
      </c>
      <c r="O30" s="160">
        <v>77185</v>
      </c>
    </row>
    <row r="31" spans="2:15" s="154" customFormat="1" ht="15" hidden="1" customHeight="1">
      <c r="B31" s="594"/>
      <c r="C31" s="165" t="s">
        <v>161</v>
      </c>
      <c r="D31" s="178">
        <f>+F31+H31+J31+L31+N31</f>
        <v>192</v>
      </c>
      <c r="E31" s="167">
        <f>+G31+I31+K31+M31+O31</f>
        <v>612677</v>
      </c>
      <c r="F31" s="168">
        <v>10</v>
      </c>
      <c r="G31" s="169">
        <v>9027</v>
      </c>
      <c r="H31" s="166">
        <v>112</v>
      </c>
      <c r="I31" s="167">
        <v>223400</v>
      </c>
      <c r="J31" s="166">
        <v>58</v>
      </c>
      <c r="K31" s="167">
        <v>228750</v>
      </c>
      <c r="L31" s="166">
        <v>3</v>
      </c>
      <c r="M31" s="167">
        <v>28073</v>
      </c>
      <c r="N31" s="166">
        <v>9</v>
      </c>
      <c r="O31" s="167">
        <v>123427</v>
      </c>
    </row>
    <row r="32" spans="2:15" s="176" customFormat="1" ht="15" customHeight="1">
      <c r="B32" s="595" t="s">
        <v>42</v>
      </c>
      <c r="C32" s="595"/>
      <c r="D32" s="170">
        <f t="shared" ref="D32:O32" si="8">SUM(D33:D34)</f>
        <v>3307</v>
      </c>
      <c r="E32" s="171">
        <f t="shared" si="8"/>
        <v>2069321</v>
      </c>
      <c r="F32" s="170">
        <f t="shared" si="8"/>
        <v>2785</v>
      </c>
      <c r="G32" s="171">
        <f t="shared" si="8"/>
        <v>282833</v>
      </c>
      <c r="H32" s="180">
        <f t="shared" si="8"/>
        <v>275</v>
      </c>
      <c r="I32" s="171">
        <f t="shared" si="8"/>
        <v>612154</v>
      </c>
      <c r="J32" s="180">
        <f t="shared" si="8"/>
        <v>230</v>
      </c>
      <c r="K32" s="171">
        <f t="shared" si="8"/>
        <v>896365</v>
      </c>
      <c r="L32" s="180">
        <f t="shared" si="8"/>
        <v>2</v>
      </c>
      <c r="M32" s="171">
        <f t="shared" si="8"/>
        <v>14582</v>
      </c>
      <c r="N32" s="180">
        <f t="shared" si="8"/>
        <v>15</v>
      </c>
      <c r="O32" s="171">
        <f t="shared" si="8"/>
        <v>263387</v>
      </c>
    </row>
    <row r="33" spans="2:15" s="154" customFormat="1" ht="15" hidden="1" customHeight="1">
      <c r="B33" s="593"/>
      <c r="C33" s="158" t="s">
        <v>160</v>
      </c>
      <c r="D33" s="177">
        <f>+F33+H33+J33+L33+N33</f>
        <v>3099</v>
      </c>
      <c r="E33" s="164">
        <f>+G33+I33+K33+M33+O33</f>
        <v>1391700</v>
      </c>
      <c r="F33" s="161">
        <v>2776</v>
      </c>
      <c r="G33" s="162">
        <v>278027</v>
      </c>
      <c r="H33" s="163">
        <v>148</v>
      </c>
      <c r="I33" s="164">
        <v>357024</v>
      </c>
      <c r="J33" s="163">
        <v>173</v>
      </c>
      <c r="K33" s="164">
        <v>679989</v>
      </c>
      <c r="L33" s="163">
        <v>0</v>
      </c>
      <c r="M33" s="164">
        <v>0</v>
      </c>
      <c r="N33" s="163">
        <v>2</v>
      </c>
      <c r="O33" s="164">
        <v>76660</v>
      </c>
    </row>
    <row r="34" spans="2:15" s="154" customFormat="1" ht="15" hidden="1" customHeight="1">
      <c r="B34" s="594"/>
      <c r="C34" s="165" t="s">
        <v>161</v>
      </c>
      <c r="D34" s="178">
        <f>+F34+H34+J34+L34+N34</f>
        <v>208</v>
      </c>
      <c r="E34" s="167">
        <f>+G34+I34+K34+M34+O34</f>
        <v>677621</v>
      </c>
      <c r="F34" s="168">
        <v>9</v>
      </c>
      <c r="G34" s="169">
        <v>4806</v>
      </c>
      <c r="H34" s="166">
        <v>127</v>
      </c>
      <c r="I34" s="167">
        <v>255130</v>
      </c>
      <c r="J34" s="166">
        <v>57</v>
      </c>
      <c r="K34" s="167">
        <v>216376</v>
      </c>
      <c r="L34" s="166">
        <v>2</v>
      </c>
      <c r="M34" s="167">
        <v>14582</v>
      </c>
      <c r="N34" s="166">
        <v>13</v>
      </c>
      <c r="O34" s="167">
        <v>186727</v>
      </c>
    </row>
    <row r="35" spans="2:15" s="176" customFormat="1" ht="15" customHeight="1">
      <c r="B35" s="595" t="s">
        <v>43</v>
      </c>
      <c r="C35" s="595"/>
      <c r="D35" s="170">
        <f t="shared" ref="D35:O35" si="9">SUM(D36:D37)</f>
        <v>3109</v>
      </c>
      <c r="E35" s="171">
        <f t="shared" si="9"/>
        <v>1990309</v>
      </c>
      <c r="F35" s="170">
        <f t="shared" si="9"/>
        <v>2586</v>
      </c>
      <c r="G35" s="171">
        <f t="shared" si="9"/>
        <v>298232</v>
      </c>
      <c r="H35" s="180">
        <f t="shared" si="9"/>
        <v>268</v>
      </c>
      <c r="I35" s="171">
        <f t="shared" si="9"/>
        <v>593705</v>
      </c>
      <c r="J35" s="180">
        <f t="shared" si="9"/>
        <v>243</v>
      </c>
      <c r="K35" s="171">
        <f t="shared" si="9"/>
        <v>950552</v>
      </c>
      <c r="L35" s="180">
        <f t="shared" si="9"/>
        <v>3</v>
      </c>
      <c r="M35" s="171">
        <f t="shared" si="9"/>
        <v>25205</v>
      </c>
      <c r="N35" s="180">
        <f t="shared" si="9"/>
        <v>9</v>
      </c>
      <c r="O35" s="171">
        <f t="shared" si="9"/>
        <v>122615</v>
      </c>
    </row>
    <row r="36" spans="2:15" s="154" customFormat="1" ht="15" hidden="1" customHeight="1">
      <c r="B36" s="593"/>
      <c r="C36" s="158" t="s">
        <v>160</v>
      </c>
      <c r="D36" s="177">
        <f>+F36+H36+J36+L36+N36</f>
        <v>2905</v>
      </c>
      <c r="E36" s="164">
        <f>+G36+I36+K36+M36+O36</f>
        <v>1311836</v>
      </c>
      <c r="F36" s="161">
        <f>2141+240+202</f>
        <v>2583</v>
      </c>
      <c r="G36" s="162">
        <f>63584+85096+146899</f>
        <v>295579</v>
      </c>
      <c r="H36" s="163">
        <v>154</v>
      </c>
      <c r="I36" s="164">
        <v>369743</v>
      </c>
      <c r="J36" s="163">
        <v>168</v>
      </c>
      <c r="K36" s="164">
        <v>646514</v>
      </c>
      <c r="L36" s="163">
        <v>0</v>
      </c>
      <c r="M36" s="164">
        <v>0</v>
      </c>
      <c r="N36" s="163">
        <v>0</v>
      </c>
      <c r="O36" s="164">
        <v>0</v>
      </c>
    </row>
    <row r="37" spans="2:15" s="154" customFormat="1" ht="15" hidden="1" customHeight="1">
      <c r="B37" s="594"/>
      <c r="C37" s="165" t="s">
        <v>161</v>
      </c>
      <c r="D37" s="178">
        <f>+F37+H37+J37+L37+N37</f>
        <v>204</v>
      </c>
      <c r="E37" s="167">
        <f>+G37+I37+K37+M37+O37</f>
        <v>678473</v>
      </c>
      <c r="F37" s="168">
        <v>3</v>
      </c>
      <c r="G37" s="169">
        <v>2653</v>
      </c>
      <c r="H37" s="166">
        <v>114</v>
      </c>
      <c r="I37" s="167">
        <v>223962</v>
      </c>
      <c r="J37" s="166">
        <v>75</v>
      </c>
      <c r="K37" s="167">
        <v>304038</v>
      </c>
      <c r="L37" s="166">
        <v>3</v>
      </c>
      <c r="M37" s="167">
        <v>25205</v>
      </c>
      <c r="N37" s="166">
        <v>9</v>
      </c>
      <c r="O37" s="167">
        <v>122615</v>
      </c>
    </row>
    <row r="38" spans="2:15" s="176" customFormat="1" ht="15" customHeight="1">
      <c r="B38" s="595" t="s">
        <v>44</v>
      </c>
      <c r="C38" s="595"/>
      <c r="D38" s="170">
        <f t="shared" ref="D38:O38" si="10">SUM(D39:D40)</f>
        <v>2749</v>
      </c>
      <c r="E38" s="171">
        <f t="shared" si="10"/>
        <v>1511314</v>
      </c>
      <c r="F38" s="170">
        <f t="shared" si="10"/>
        <v>2340</v>
      </c>
      <c r="G38" s="171">
        <f t="shared" si="10"/>
        <v>236016</v>
      </c>
      <c r="H38" s="180">
        <f t="shared" si="10"/>
        <v>227</v>
      </c>
      <c r="I38" s="171">
        <f t="shared" si="10"/>
        <v>505386</v>
      </c>
      <c r="J38" s="180">
        <f t="shared" si="10"/>
        <v>176</v>
      </c>
      <c r="K38" s="171">
        <f t="shared" si="10"/>
        <v>693675</v>
      </c>
      <c r="L38" s="180">
        <f t="shared" si="10"/>
        <v>3</v>
      </c>
      <c r="M38" s="171">
        <f t="shared" si="10"/>
        <v>26010</v>
      </c>
      <c r="N38" s="180">
        <f t="shared" si="10"/>
        <v>3</v>
      </c>
      <c r="O38" s="171">
        <f t="shared" si="10"/>
        <v>50227</v>
      </c>
    </row>
    <row r="39" spans="2:15" s="154" customFormat="1" ht="15" hidden="1" customHeight="1">
      <c r="B39" s="593"/>
      <c r="C39" s="158" t="s">
        <v>160</v>
      </c>
      <c r="D39" s="177">
        <f>+F39+H39+J39+L39+N39</f>
        <v>2637</v>
      </c>
      <c r="E39" s="164">
        <f>+G39+I39+K39+M39+O39</f>
        <v>1199367</v>
      </c>
      <c r="F39" s="161">
        <v>2337</v>
      </c>
      <c r="G39" s="162">
        <v>233950</v>
      </c>
      <c r="H39" s="163">
        <v>151</v>
      </c>
      <c r="I39" s="164">
        <v>366671</v>
      </c>
      <c r="J39" s="163">
        <v>147</v>
      </c>
      <c r="K39" s="164">
        <v>569179</v>
      </c>
      <c r="L39" s="163">
        <v>1</v>
      </c>
      <c r="M39" s="164">
        <v>7664</v>
      </c>
      <c r="N39" s="163">
        <v>1</v>
      </c>
      <c r="O39" s="164">
        <v>21903</v>
      </c>
    </row>
    <row r="40" spans="2:15" s="154" customFormat="1" ht="15" hidden="1" customHeight="1">
      <c r="B40" s="594"/>
      <c r="C40" s="165" t="s">
        <v>161</v>
      </c>
      <c r="D40" s="178">
        <f>+F40+H40+J40+L40+N40</f>
        <v>112</v>
      </c>
      <c r="E40" s="167">
        <f>+G40+I40+K40+M40+O40</f>
        <v>311947</v>
      </c>
      <c r="F40" s="168">
        <v>3</v>
      </c>
      <c r="G40" s="169">
        <v>2066</v>
      </c>
      <c r="H40" s="166">
        <v>76</v>
      </c>
      <c r="I40" s="167">
        <v>138715</v>
      </c>
      <c r="J40" s="166">
        <v>29</v>
      </c>
      <c r="K40" s="167">
        <v>124496</v>
      </c>
      <c r="L40" s="166">
        <v>2</v>
      </c>
      <c r="M40" s="167">
        <v>18346</v>
      </c>
      <c r="N40" s="166">
        <v>2</v>
      </c>
      <c r="O40" s="167">
        <v>28324</v>
      </c>
    </row>
    <row r="41" spans="2:15" s="176" customFormat="1" ht="15" customHeight="1">
      <c r="B41" s="595" t="s">
        <v>45</v>
      </c>
      <c r="C41" s="595"/>
      <c r="D41" s="181">
        <f t="shared" ref="D41:O41" si="11">SUM(D42:D43)</f>
        <v>2710</v>
      </c>
      <c r="E41" s="182">
        <f t="shared" si="11"/>
        <v>1637943</v>
      </c>
      <c r="F41" s="181">
        <f t="shared" si="11"/>
        <v>2269</v>
      </c>
      <c r="G41" s="182">
        <f t="shared" si="11"/>
        <v>231875</v>
      </c>
      <c r="H41" s="174">
        <f t="shared" si="11"/>
        <v>229</v>
      </c>
      <c r="I41" s="175">
        <f t="shared" si="11"/>
        <v>499550</v>
      </c>
      <c r="J41" s="174">
        <f t="shared" si="11"/>
        <v>203</v>
      </c>
      <c r="K41" s="175">
        <f t="shared" si="11"/>
        <v>786627</v>
      </c>
      <c r="L41" s="174">
        <f t="shared" si="11"/>
        <v>3</v>
      </c>
      <c r="M41" s="175">
        <f t="shared" si="11"/>
        <v>28785</v>
      </c>
      <c r="N41" s="174">
        <f t="shared" si="11"/>
        <v>6</v>
      </c>
      <c r="O41" s="175">
        <f t="shared" si="11"/>
        <v>91106</v>
      </c>
    </row>
    <row r="42" spans="2:15" s="154" customFormat="1" ht="15" customHeight="1">
      <c r="B42" s="593"/>
      <c r="C42" s="158" t="s">
        <v>160</v>
      </c>
      <c r="D42" s="183">
        <f>+F42+H42+J42+L42+N42</f>
        <v>2601</v>
      </c>
      <c r="E42" s="160">
        <f>+G42+I42+K42+M42+O42</f>
        <v>1238604</v>
      </c>
      <c r="F42" s="184">
        <v>2269</v>
      </c>
      <c r="G42" s="185">
        <v>231875</v>
      </c>
      <c r="H42" s="159">
        <v>161</v>
      </c>
      <c r="I42" s="160">
        <v>351309</v>
      </c>
      <c r="J42" s="159">
        <v>171</v>
      </c>
      <c r="K42" s="160">
        <v>655420</v>
      </c>
      <c r="L42" s="159">
        <v>0</v>
      </c>
      <c r="M42" s="160">
        <v>0</v>
      </c>
      <c r="N42" s="159">
        <v>0</v>
      </c>
      <c r="O42" s="160">
        <v>0</v>
      </c>
    </row>
    <row r="43" spans="2:15" s="154" customFormat="1" ht="15" customHeight="1">
      <c r="B43" s="594"/>
      <c r="C43" s="165" t="s">
        <v>161</v>
      </c>
      <c r="D43" s="178">
        <f>+F43+H43+J43+L43+N43</f>
        <v>109</v>
      </c>
      <c r="E43" s="167">
        <f>+G43+I43+K43+M43+O43</f>
        <v>399339</v>
      </c>
      <c r="F43" s="168">
        <v>0</v>
      </c>
      <c r="G43" s="169">
        <v>0</v>
      </c>
      <c r="H43" s="166">
        <v>68</v>
      </c>
      <c r="I43" s="167">
        <v>148241</v>
      </c>
      <c r="J43" s="166">
        <v>32</v>
      </c>
      <c r="K43" s="167">
        <v>131207</v>
      </c>
      <c r="L43" s="166">
        <v>3</v>
      </c>
      <c r="M43" s="167">
        <v>28785</v>
      </c>
      <c r="N43" s="166">
        <v>6</v>
      </c>
      <c r="O43" s="167">
        <v>91106</v>
      </c>
    </row>
    <row r="44" spans="2:15" s="176" customFormat="1" ht="15" customHeight="1">
      <c r="B44" s="595" t="s">
        <v>46</v>
      </c>
      <c r="C44" s="595"/>
      <c r="D44" s="181">
        <f t="shared" ref="D44:O44" si="12">SUM(D45:D46)</f>
        <v>2678</v>
      </c>
      <c r="E44" s="182">
        <f t="shared" si="12"/>
        <v>1578325</v>
      </c>
      <c r="F44" s="181">
        <f t="shared" si="12"/>
        <v>2269</v>
      </c>
      <c r="G44" s="182">
        <f t="shared" si="12"/>
        <v>216528</v>
      </c>
      <c r="H44" s="174">
        <f t="shared" si="12"/>
        <v>181</v>
      </c>
      <c r="I44" s="175">
        <f t="shared" si="12"/>
        <v>414785</v>
      </c>
      <c r="J44" s="174">
        <f t="shared" si="12"/>
        <v>219</v>
      </c>
      <c r="K44" s="175">
        <f t="shared" si="12"/>
        <v>842080</v>
      </c>
      <c r="L44" s="174">
        <f t="shared" si="12"/>
        <v>4</v>
      </c>
      <c r="M44" s="175">
        <f t="shared" si="12"/>
        <v>36370</v>
      </c>
      <c r="N44" s="174">
        <f t="shared" si="12"/>
        <v>5</v>
      </c>
      <c r="O44" s="175">
        <f t="shared" si="12"/>
        <v>68562</v>
      </c>
    </row>
    <row r="45" spans="2:15" s="154" customFormat="1" ht="15" customHeight="1">
      <c r="B45" s="593"/>
      <c r="C45" s="158" t="s">
        <v>160</v>
      </c>
      <c r="D45" s="183">
        <f>+F45+H45+J45+L45+N45</f>
        <v>2584</v>
      </c>
      <c r="E45" s="160">
        <f>+G45+I45+K45+M45+O45</f>
        <v>1213529</v>
      </c>
      <c r="F45" s="184">
        <v>2267</v>
      </c>
      <c r="G45" s="185">
        <v>214783</v>
      </c>
      <c r="H45" s="159">
        <v>136</v>
      </c>
      <c r="I45" s="160">
        <v>317202</v>
      </c>
      <c r="J45" s="159">
        <v>181</v>
      </c>
      <c r="K45" s="160">
        <v>681544</v>
      </c>
      <c r="L45" s="159">
        <v>0</v>
      </c>
      <c r="M45" s="160">
        <v>0</v>
      </c>
      <c r="N45" s="159">
        <v>0</v>
      </c>
      <c r="O45" s="160">
        <v>0</v>
      </c>
    </row>
    <row r="46" spans="2:15" s="154" customFormat="1" ht="15" customHeight="1">
      <c r="B46" s="594"/>
      <c r="C46" s="165" t="s">
        <v>161</v>
      </c>
      <c r="D46" s="178">
        <f>+F46+H46+J46+L46+N46</f>
        <v>94</v>
      </c>
      <c r="E46" s="167">
        <f>+G46+I46+K46+M46+O46</f>
        <v>364796</v>
      </c>
      <c r="F46" s="168">
        <v>2</v>
      </c>
      <c r="G46" s="169">
        <v>1745</v>
      </c>
      <c r="H46" s="166">
        <v>45</v>
      </c>
      <c r="I46" s="167">
        <v>97583</v>
      </c>
      <c r="J46" s="166">
        <v>38</v>
      </c>
      <c r="K46" s="167">
        <v>160536</v>
      </c>
      <c r="L46" s="166">
        <v>4</v>
      </c>
      <c r="M46" s="167">
        <v>36370</v>
      </c>
      <c r="N46" s="166">
        <v>5</v>
      </c>
      <c r="O46" s="167">
        <v>68562</v>
      </c>
    </row>
    <row r="47" spans="2:15" s="176" customFormat="1" ht="15" customHeight="1">
      <c r="B47" s="595" t="s">
        <v>47</v>
      </c>
      <c r="C47" s="595"/>
      <c r="D47" s="181">
        <f t="shared" ref="D47:O47" si="13">SUM(D48:D49)</f>
        <v>2528</v>
      </c>
      <c r="E47" s="182">
        <f t="shared" si="13"/>
        <v>1569395</v>
      </c>
      <c r="F47" s="181">
        <f t="shared" si="13"/>
        <v>2141</v>
      </c>
      <c r="G47" s="182">
        <f t="shared" si="13"/>
        <v>209483</v>
      </c>
      <c r="H47" s="174">
        <f t="shared" si="13"/>
        <v>135</v>
      </c>
      <c r="I47" s="175">
        <f t="shared" si="13"/>
        <v>320662</v>
      </c>
      <c r="J47" s="174">
        <f t="shared" si="13"/>
        <v>245</v>
      </c>
      <c r="K47" s="175">
        <f t="shared" si="13"/>
        <v>977838</v>
      </c>
      <c r="L47" s="174">
        <f t="shared" si="13"/>
        <v>4</v>
      </c>
      <c r="M47" s="175">
        <f t="shared" si="13"/>
        <v>26396</v>
      </c>
      <c r="N47" s="174">
        <f t="shared" si="13"/>
        <v>3</v>
      </c>
      <c r="O47" s="175">
        <f t="shared" si="13"/>
        <v>35016</v>
      </c>
    </row>
    <row r="48" spans="2:15" s="154" customFormat="1" ht="15" customHeight="1">
      <c r="B48" s="593"/>
      <c r="C48" s="158" t="s">
        <v>160</v>
      </c>
      <c r="D48" s="183">
        <f>+F48+H48+J48+L48+N48</f>
        <v>2420</v>
      </c>
      <c r="E48" s="160">
        <f>+G48+I48+K48+M48+O48</f>
        <v>1207020</v>
      </c>
      <c r="F48" s="184">
        <v>2138</v>
      </c>
      <c r="G48" s="185">
        <v>207396</v>
      </c>
      <c r="H48" s="159">
        <v>78</v>
      </c>
      <c r="I48" s="160">
        <v>217488</v>
      </c>
      <c r="J48" s="159">
        <v>204</v>
      </c>
      <c r="K48" s="160">
        <v>782136</v>
      </c>
      <c r="L48" s="159">
        <v>0</v>
      </c>
      <c r="M48" s="160">
        <v>0</v>
      </c>
      <c r="N48" s="159">
        <v>0</v>
      </c>
      <c r="O48" s="160">
        <v>0</v>
      </c>
    </row>
    <row r="49" spans="1:15" s="154" customFormat="1" ht="15" customHeight="1">
      <c r="B49" s="594"/>
      <c r="C49" s="165" t="s">
        <v>161</v>
      </c>
      <c r="D49" s="178">
        <f>+F49+H49+J49+L49+N49</f>
        <v>108</v>
      </c>
      <c r="E49" s="167">
        <f>+G49+I49+K49+M49+O49</f>
        <v>362375</v>
      </c>
      <c r="F49" s="168">
        <v>3</v>
      </c>
      <c r="G49" s="169">
        <v>2087</v>
      </c>
      <c r="H49" s="166">
        <v>57</v>
      </c>
      <c r="I49" s="167">
        <v>103174</v>
      </c>
      <c r="J49" s="166">
        <v>41</v>
      </c>
      <c r="K49" s="167">
        <v>195702</v>
      </c>
      <c r="L49" s="166">
        <v>4</v>
      </c>
      <c r="M49" s="167">
        <v>26396</v>
      </c>
      <c r="N49" s="166">
        <v>3</v>
      </c>
      <c r="O49" s="167">
        <v>35016</v>
      </c>
    </row>
    <row r="50" spans="1:15" s="176" customFormat="1" ht="15" customHeight="1">
      <c r="B50" s="595" t="s">
        <v>48</v>
      </c>
      <c r="C50" s="595"/>
      <c r="D50" s="181">
        <f t="shared" ref="D50:O50" si="14">SUM(D51:D52)</f>
        <v>2557</v>
      </c>
      <c r="E50" s="182">
        <f t="shared" si="14"/>
        <v>1603616</v>
      </c>
      <c r="F50" s="181">
        <f t="shared" si="14"/>
        <v>2171</v>
      </c>
      <c r="G50" s="182">
        <f t="shared" si="14"/>
        <v>197210</v>
      </c>
      <c r="H50" s="174">
        <f t="shared" si="14"/>
        <v>138</v>
      </c>
      <c r="I50" s="175">
        <f t="shared" si="14"/>
        <v>302429</v>
      </c>
      <c r="J50" s="174">
        <f t="shared" si="14"/>
        <v>234</v>
      </c>
      <c r="K50" s="175">
        <f t="shared" si="14"/>
        <v>965172</v>
      </c>
      <c r="L50" s="174">
        <f t="shared" si="14"/>
        <v>8</v>
      </c>
      <c r="M50" s="175">
        <f t="shared" si="14"/>
        <v>52792</v>
      </c>
      <c r="N50" s="174">
        <f t="shared" si="14"/>
        <v>6</v>
      </c>
      <c r="O50" s="175">
        <f t="shared" si="14"/>
        <v>86013</v>
      </c>
    </row>
    <row r="51" spans="1:15" s="154" customFormat="1" ht="15" customHeight="1">
      <c r="B51" s="593"/>
      <c r="C51" s="158" t="s">
        <v>160</v>
      </c>
      <c r="D51" s="183">
        <f>+F51+H51+J51+L51+N51</f>
        <v>2449</v>
      </c>
      <c r="E51" s="160">
        <f>+G51+I51+K51+M51+O51</f>
        <v>1208317</v>
      </c>
      <c r="F51" s="184">
        <v>2171</v>
      </c>
      <c r="G51" s="185">
        <v>197210</v>
      </c>
      <c r="H51" s="159">
        <v>83</v>
      </c>
      <c r="I51" s="160">
        <v>208099</v>
      </c>
      <c r="J51" s="159">
        <v>194</v>
      </c>
      <c r="K51" s="160">
        <v>776414</v>
      </c>
      <c r="L51" s="159">
        <v>0</v>
      </c>
      <c r="M51" s="160">
        <v>0</v>
      </c>
      <c r="N51" s="159">
        <v>1</v>
      </c>
      <c r="O51" s="160">
        <v>26594</v>
      </c>
    </row>
    <row r="52" spans="1:15" s="154" customFormat="1" ht="15" customHeight="1">
      <c r="B52" s="594"/>
      <c r="C52" s="165" t="s">
        <v>161</v>
      </c>
      <c r="D52" s="178">
        <f>+F52+H52+J52+L52+N52</f>
        <v>108</v>
      </c>
      <c r="E52" s="167">
        <f>+G52+I52+K52+M52+O52</f>
        <v>395299</v>
      </c>
      <c r="F52" s="168">
        <v>0</v>
      </c>
      <c r="G52" s="169">
        <v>0</v>
      </c>
      <c r="H52" s="166">
        <v>55</v>
      </c>
      <c r="I52" s="167">
        <v>94330</v>
      </c>
      <c r="J52" s="166">
        <v>40</v>
      </c>
      <c r="K52" s="167">
        <v>188758</v>
      </c>
      <c r="L52" s="166">
        <v>8</v>
      </c>
      <c r="M52" s="167">
        <v>52792</v>
      </c>
      <c r="N52" s="166">
        <v>5</v>
      </c>
      <c r="O52" s="167">
        <v>59419</v>
      </c>
    </row>
    <row r="53" spans="1:15" s="176" customFormat="1" ht="15" customHeight="1">
      <c r="B53" s="595" t="s">
        <v>49</v>
      </c>
      <c r="C53" s="595"/>
      <c r="D53" s="181">
        <f t="shared" ref="D53:O53" si="15">SUM(D54:D55)</f>
        <v>2379</v>
      </c>
      <c r="E53" s="182">
        <f t="shared" si="15"/>
        <v>1565987</v>
      </c>
      <c r="F53" s="181">
        <f t="shared" si="15"/>
        <v>1984</v>
      </c>
      <c r="G53" s="182">
        <f t="shared" si="15"/>
        <v>185218</v>
      </c>
      <c r="H53" s="174">
        <f t="shared" si="15"/>
        <v>172</v>
      </c>
      <c r="I53" s="175">
        <f t="shared" si="15"/>
        <v>374546</v>
      </c>
      <c r="J53" s="174">
        <f t="shared" si="15"/>
        <v>207</v>
      </c>
      <c r="K53" s="175">
        <f t="shared" si="15"/>
        <v>854391</v>
      </c>
      <c r="L53" s="174">
        <f t="shared" si="15"/>
        <v>11</v>
      </c>
      <c r="M53" s="175">
        <f t="shared" si="15"/>
        <v>80333</v>
      </c>
      <c r="N53" s="174">
        <f t="shared" si="15"/>
        <v>5</v>
      </c>
      <c r="O53" s="175">
        <f t="shared" si="15"/>
        <v>71499</v>
      </c>
    </row>
    <row r="54" spans="1:15" s="154" customFormat="1" ht="15" customHeight="1">
      <c r="B54" s="593"/>
      <c r="C54" s="158" t="s">
        <v>160</v>
      </c>
      <c r="D54" s="183">
        <f>+F54+H54+J54+L54+N54</f>
        <v>2283</v>
      </c>
      <c r="E54" s="160">
        <f>+G54+I54+K54+M54+O54</f>
        <v>1209611</v>
      </c>
      <c r="F54" s="184">
        <v>1983</v>
      </c>
      <c r="G54" s="185">
        <v>184344</v>
      </c>
      <c r="H54" s="159">
        <v>121</v>
      </c>
      <c r="I54" s="160">
        <v>274557</v>
      </c>
      <c r="J54" s="159">
        <v>178</v>
      </c>
      <c r="K54" s="160">
        <v>728238</v>
      </c>
      <c r="L54" s="159">
        <v>0</v>
      </c>
      <c r="M54" s="160">
        <v>0</v>
      </c>
      <c r="N54" s="159">
        <v>1</v>
      </c>
      <c r="O54" s="160">
        <v>22472</v>
      </c>
    </row>
    <row r="55" spans="1:15" s="154" customFormat="1" ht="15" customHeight="1">
      <c r="B55" s="594"/>
      <c r="C55" s="165" t="s">
        <v>161</v>
      </c>
      <c r="D55" s="178">
        <f>+F55+H55+J55+L55+N55</f>
        <v>96</v>
      </c>
      <c r="E55" s="167">
        <f>+G55+I55+K55+M55+O55</f>
        <v>356376</v>
      </c>
      <c r="F55" s="168">
        <v>1</v>
      </c>
      <c r="G55" s="169">
        <v>874</v>
      </c>
      <c r="H55" s="166">
        <v>51</v>
      </c>
      <c r="I55" s="167">
        <v>99989</v>
      </c>
      <c r="J55" s="166">
        <v>29</v>
      </c>
      <c r="K55" s="167">
        <v>126153</v>
      </c>
      <c r="L55" s="166">
        <v>11</v>
      </c>
      <c r="M55" s="167">
        <v>80333</v>
      </c>
      <c r="N55" s="166">
        <v>4</v>
      </c>
      <c r="O55" s="167">
        <v>49027</v>
      </c>
    </row>
    <row r="56" spans="1:15" s="154" customFormat="1" ht="15" customHeight="1">
      <c r="B56" s="595" t="s">
        <v>50</v>
      </c>
      <c r="C56" s="595"/>
      <c r="D56" s="181">
        <f t="shared" ref="D56:O56" si="16">SUM(D57:D58)</f>
        <v>2366</v>
      </c>
      <c r="E56" s="182">
        <f t="shared" si="16"/>
        <v>1572192</v>
      </c>
      <c r="F56" s="181">
        <f t="shared" si="16"/>
        <v>1988</v>
      </c>
      <c r="G56" s="182">
        <f t="shared" si="16"/>
        <v>211231</v>
      </c>
      <c r="H56" s="174">
        <f t="shared" si="16"/>
        <v>118</v>
      </c>
      <c r="I56" s="175">
        <f t="shared" si="16"/>
        <v>243332</v>
      </c>
      <c r="J56" s="174">
        <f t="shared" si="16"/>
        <v>252</v>
      </c>
      <c r="K56" s="175">
        <f t="shared" si="16"/>
        <v>1031562</v>
      </c>
      <c r="L56" s="174">
        <f t="shared" si="16"/>
        <v>4</v>
      </c>
      <c r="M56" s="175">
        <f t="shared" si="16"/>
        <v>25356</v>
      </c>
      <c r="N56" s="174">
        <f t="shared" si="16"/>
        <v>4</v>
      </c>
      <c r="O56" s="175">
        <f t="shared" si="16"/>
        <v>60711</v>
      </c>
    </row>
    <row r="57" spans="1:15" s="154" customFormat="1" ht="15" customHeight="1">
      <c r="B57" s="593"/>
      <c r="C57" s="158" t="s">
        <v>160</v>
      </c>
      <c r="D57" s="183">
        <f>+F57+H57+J57+L57+N57</f>
        <v>2295</v>
      </c>
      <c r="E57" s="160">
        <f>+G57+I57+K57+M57+O57</f>
        <v>1293500</v>
      </c>
      <c r="F57" s="184">
        <v>1987</v>
      </c>
      <c r="G57" s="185">
        <v>211015</v>
      </c>
      <c r="H57" s="159">
        <v>82</v>
      </c>
      <c r="I57" s="160">
        <v>176823</v>
      </c>
      <c r="J57" s="159">
        <v>226</v>
      </c>
      <c r="K57" s="160">
        <v>905662</v>
      </c>
      <c r="L57" s="159">
        <v>0</v>
      </c>
      <c r="M57" s="160">
        <v>0</v>
      </c>
      <c r="N57" s="159">
        <v>0</v>
      </c>
      <c r="O57" s="160">
        <v>0</v>
      </c>
    </row>
    <row r="58" spans="1:15" s="154" customFormat="1" ht="15" customHeight="1">
      <c r="B58" s="594"/>
      <c r="C58" s="165" t="s">
        <v>161</v>
      </c>
      <c r="D58" s="178">
        <f>+F58+H58+J58+L58+N58</f>
        <v>71</v>
      </c>
      <c r="E58" s="167">
        <f>+G58+I58+K58+M58+O58</f>
        <v>278692</v>
      </c>
      <c r="F58" s="168">
        <v>1</v>
      </c>
      <c r="G58" s="169">
        <v>216</v>
      </c>
      <c r="H58" s="166">
        <v>36</v>
      </c>
      <c r="I58" s="167">
        <v>66509</v>
      </c>
      <c r="J58" s="166">
        <v>26</v>
      </c>
      <c r="K58" s="167">
        <v>125900</v>
      </c>
      <c r="L58" s="166">
        <v>4</v>
      </c>
      <c r="M58" s="167">
        <v>25356</v>
      </c>
      <c r="N58" s="166">
        <v>4</v>
      </c>
      <c r="O58" s="167">
        <v>60711</v>
      </c>
    </row>
    <row r="59" spans="1:15" s="154" customFormat="1" ht="15" customHeight="1">
      <c r="B59" s="595" t="s">
        <v>51</v>
      </c>
      <c r="C59" s="595"/>
      <c r="D59" s="181">
        <f t="shared" ref="D59:O59" si="17">SUM(D60:D61)</f>
        <v>2228</v>
      </c>
      <c r="E59" s="182">
        <f t="shared" si="17"/>
        <v>1545104</v>
      </c>
      <c r="F59" s="181">
        <f t="shared" si="17"/>
        <v>1875</v>
      </c>
      <c r="G59" s="182">
        <f t="shared" si="17"/>
        <v>194442</v>
      </c>
      <c r="H59" s="174">
        <f t="shared" si="17"/>
        <v>89</v>
      </c>
      <c r="I59" s="175">
        <f t="shared" si="17"/>
        <v>174989</v>
      </c>
      <c r="J59" s="174">
        <f t="shared" si="17"/>
        <v>254</v>
      </c>
      <c r="K59" s="175">
        <f t="shared" si="17"/>
        <v>1047704</v>
      </c>
      <c r="L59" s="174">
        <f t="shared" si="17"/>
        <v>3</v>
      </c>
      <c r="M59" s="175">
        <f t="shared" si="17"/>
        <v>25834</v>
      </c>
      <c r="N59" s="174">
        <f t="shared" si="17"/>
        <v>7</v>
      </c>
      <c r="O59" s="175">
        <f t="shared" si="17"/>
        <v>102135</v>
      </c>
    </row>
    <row r="60" spans="1:15" s="154" customFormat="1" ht="15" customHeight="1">
      <c r="B60" s="593"/>
      <c r="C60" s="158" t="s">
        <v>160</v>
      </c>
      <c r="D60" s="183">
        <f>+F60+H60+J60+L60+N60</f>
        <v>2163</v>
      </c>
      <c r="E60" s="160">
        <f>+G60+I60+K60+M60+O60</f>
        <v>1259363</v>
      </c>
      <c r="F60" s="184">
        <v>1874</v>
      </c>
      <c r="G60" s="185">
        <v>193587</v>
      </c>
      <c r="H60" s="159">
        <v>55</v>
      </c>
      <c r="I60" s="160">
        <v>111928</v>
      </c>
      <c r="J60" s="159">
        <v>234</v>
      </c>
      <c r="K60" s="160">
        <v>953848</v>
      </c>
      <c r="L60" s="159"/>
      <c r="M60" s="160"/>
      <c r="N60" s="159"/>
      <c r="O60" s="160"/>
    </row>
    <row r="61" spans="1:15" s="154" customFormat="1" ht="15" customHeight="1">
      <c r="B61" s="594"/>
      <c r="C61" s="165" t="s">
        <v>161</v>
      </c>
      <c r="D61" s="178">
        <f>+F61+H61+J61+L61+N61</f>
        <v>65</v>
      </c>
      <c r="E61" s="167">
        <f>+G61+I61+K61+M61+O61</f>
        <v>285741</v>
      </c>
      <c r="F61" s="168">
        <v>1</v>
      </c>
      <c r="G61" s="169">
        <v>855</v>
      </c>
      <c r="H61" s="166">
        <v>34</v>
      </c>
      <c r="I61" s="167">
        <v>63061</v>
      </c>
      <c r="J61" s="166">
        <v>20</v>
      </c>
      <c r="K61" s="167">
        <v>93856</v>
      </c>
      <c r="L61" s="166">
        <v>3</v>
      </c>
      <c r="M61" s="167">
        <v>25834</v>
      </c>
      <c r="N61" s="166">
        <v>7</v>
      </c>
      <c r="O61" s="167">
        <v>102135</v>
      </c>
    </row>
    <row r="62" spans="1:15" s="154" customFormat="1" ht="15" customHeight="1">
      <c r="O62" s="186" t="s">
        <v>163</v>
      </c>
    </row>
    <row r="63" spans="1:15" s="187" customFormat="1" ht="17.25" customHeight="1">
      <c r="A63" s="187">
        <v>2</v>
      </c>
      <c r="B63" s="187" t="s">
        <v>164</v>
      </c>
    </row>
    <row r="64" spans="1:15" s="154" customFormat="1" ht="15" customHeight="1">
      <c r="B64" s="596" t="s">
        <v>23</v>
      </c>
      <c r="C64" s="597"/>
      <c r="D64" s="589" t="s">
        <v>26</v>
      </c>
      <c r="E64" s="589"/>
      <c r="F64" s="592" t="s">
        <v>165</v>
      </c>
      <c r="G64" s="592"/>
      <c r="H64" s="592"/>
      <c r="I64" s="592"/>
      <c r="J64" s="586" t="s">
        <v>166</v>
      </c>
      <c r="K64" s="587"/>
      <c r="L64" s="586" t="s">
        <v>167</v>
      </c>
      <c r="M64" s="587"/>
      <c r="N64" s="588" t="s">
        <v>168</v>
      </c>
      <c r="O64" s="589"/>
    </row>
    <row r="65" spans="2:15" s="154" customFormat="1" ht="15" customHeight="1">
      <c r="B65" s="598"/>
      <c r="C65" s="599"/>
      <c r="D65" s="589"/>
      <c r="E65" s="589"/>
      <c r="F65" s="590"/>
      <c r="G65" s="591"/>
      <c r="H65" s="589" t="s">
        <v>169</v>
      </c>
      <c r="I65" s="589"/>
      <c r="J65" s="586"/>
      <c r="K65" s="587"/>
      <c r="L65" s="586"/>
      <c r="M65" s="587"/>
      <c r="N65" s="588"/>
      <c r="O65" s="589"/>
    </row>
    <row r="66" spans="2:15" s="154" customFormat="1" ht="15" customHeight="1">
      <c r="B66" s="590"/>
      <c r="C66" s="600"/>
      <c r="D66" s="188" t="s">
        <v>157</v>
      </c>
      <c r="E66" s="189" t="s">
        <v>158</v>
      </c>
      <c r="F66" s="188" t="s">
        <v>157</v>
      </c>
      <c r="G66" s="189" t="s">
        <v>158</v>
      </c>
      <c r="H66" s="188" t="s">
        <v>157</v>
      </c>
      <c r="I66" s="189" t="s">
        <v>158</v>
      </c>
      <c r="J66" s="188" t="s">
        <v>157</v>
      </c>
      <c r="K66" s="189" t="s">
        <v>158</v>
      </c>
      <c r="L66" s="188" t="s">
        <v>157</v>
      </c>
      <c r="M66" s="189" t="s">
        <v>158</v>
      </c>
      <c r="N66" s="188" t="s">
        <v>157</v>
      </c>
      <c r="O66" s="189" t="s">
        <v>158</v>
      </c>
    </row>
    <row r="67" spans="2:15" s="154" customFormat="1" ht="18" hidden="1" customHeight="1">
      <c r="B67" s="585" t="s">
        <v>159</v>
      </c>
      <c r="C67" s="585"/>
      <c r="D67" s="190">
        <f t="shared" ref="D67:E71" si="18">+F67+J67+L67+N67</f>
        <v>4322</v>
      </c>
      <c r="E67" s="191">
        <f t="shared" si="18"/>
        <v>1296889</v>
      </c>
      <c r="F67" s="192">
        <v>2216</v>
      </c>
      <c r="G67" s="191">
        <v>1141790</v>
      </c>
      <c r="H67" s="192">
        <v>43</v>
      </c>
      <c r="I67" s="191">
        <v>231278</v>
      </c>
      <c r="J67" s="192">
        <v>1789</v>
      </c>
      <c r="K67" s="191">
        <v>75158</v>
      </c>
      <c r="L67" s="192">
        <v>317</v>
      </c>
      <c r="M67" s="191">
        <v>79941</v>
      </c>
      <c r="N67" s="192">
        <v>0</v>
      </c>
      <c r="O67" s="191">
        <v>0</v>
      </c>
    </row>
    <row r="68" spans="2:15" s="154" customFormat="1" ht="18" hidden="1" customHeight="1">
      <c r="B68" s="585" t="s">
        <v>162</v>
      </c>
      <c r="C68" s="585"/>
      <c r="D68" s="190">
        <f t="shared" si="18"/>
        <v>4146</v>
      </c>
      <c r="E68" s="191">
        <f t="shared" si="18"/>
        <v>1820609</v>
      </c>
      <c r="F68" s="192">
        <v>2126</v>
      </c>
      <c r="G68" s="191">
        <v>1605393</v>
      </c>
      <c r="H68" s="192">
        <v>42</v>
      </c>
      <c r="I68" s="191">
        <v>532349</v>
      </c>
      <c r="J68" s="192">
        <v>1595</v>
      </c>
      <c r="K68" s="191">
        <v>67001</v>
      </c>
      <c r="L68" s="192">
        <v>416</v>
      </c>
      <c r="M68" s="191">
        <v>141627</v>
      </c>
      <c r="N68" s="192">
        <v>9</v>
      </c>
      <c r="O68" s="191">
        <v>6588</v>
      </c>
    </row>
    <row r="69" spans="2:15" s="154" customFormat="1" ht="18" hidden="1" customHeight="1">
      <c r="B69" s="585" t="s">
        <v>31</v>
      </c>
      <c r="C69" s="585"/>
      <c r="D69" s="190">
        <f t="shared" si="18"/>
        <v>3538</v>
      </c>
      <c r="E69" s="191">
        <f t="shared" si="18"/>
        <v>1240116</v>
      </c>
      <c r="F69" s="192">
        <v>1646</v>
      </c>
      <c r="G69" s="191">
        <v>1009585</v>
      </c>
      <c r="H69" s="192">
        <v>47</v>
      </c>
      <c r="I69" s="191">
        <v>203651</v>
      </c>
      <c r="J69" s="192">
        <v>1402</v>
      </c>
      <c r="K69" s="191">
        <v>60921</v>
      </c>
      <c r="L69" s="192">
        <v>363</v>
      </c>
      <c r="M69" s="191">
        <v>160015</v>
      </c>
      <c r="N69" s="192">
        <v>127</v>
      </c>
      <c r="O69" s="191">
        <v>9595</v>
      </c>
    </row>
    <row r="70" spans="2:15" s="154" customFormat="1" ht="18" hidden="1" customHeight="1">
      <c r="B70" s="585" t="s">
        <v>35</v>
      </c>
      <c r="C70" s="585"/>
      <c r="D70" s="190">
        <f t="shared" si="18"/>
        <v>3455</v>
      </c>
      <c r="E70" s="191">
        <f t="shared" si="18"/>
        <v>1285500</v>
      </c>
      <c r="F70" s="192">
        <v>1695</v>
      </c>
      <c r="G70" s="191">
        <v>1064454</v>
      </c>
      <c r="H70" s="192">
        <v>43</v>
      </c>
      <c r="I70" s="191">
        <v>226965</v>
      </c>
      <c r="J70" s="192">
        <v>1419</v>
      </c>
      <c r="K70" s="191">
        <v>61829</v>
      </c>
      <c r="L70" s="192">
        <v>340</v>
      </c>
      <c r="M70" s="191">
        <v>159198</v>
      </c>
      <c r="N70" s="192">
        <v>1</v>
      </c>
      <c r="O70" s="191">
        <v>19</v>
      </c>
    </row>
    <row r="71" spans="2:15" s="154" customFormat="1" ht="18" hidden="1" customHeight="1">
      <c r="B71" s="585" t="s">
        <v>36</v>
      </c>
      <c r="C71" s="585"/>
      <c r="D71" s="190">
        <f t="shared" si="18"/>
        <v>3164</v>
      </c>
      <c r="E71" s="193">
        <f t="shared" si="18"/>
        <v>1356742</v>
      </c>
      <c r="F71" s="194">
        <v>1568</v>
      </c>
      <c r="G71" s="193">
        <v>1198354</v>
      </c>
      <c r="H71" s="194">
        <v>43</v>
      </c>
      <c r="I71" s="193">
        <v>235516</v>
      </c>
      <c r="J71" s="194">
        <v>1315</v>
      </c>
      <c r="K71" s="193">
        <v>54495</v>
      </c>
      <c r="L71" s="194">
        <v>281</v>
      </c>
      <c r="M71" s="193">
        <v>103893</v>
      </c>
      <c r="N71" s="194">
        <v>0</v>
      </c>
      <c r="O71" s="191">
        <v>0</v>
      </c>
    </row>
    <row r="72" spans="2:15" s="154" customFormat="1" ht="18" customHeight="1">
      <c r="B72" s="585" t="s">
        <v>38</v>
      </c>
      <c r="C72" s="585"/>
      <c r="D72" s="195">
        <v>3414</v>
      </c>
      <c r="E72" s="196">
        <v>1510395</v>
      </c>
      <c r="F72" s="195">
        <v>1692</v>
      </c>
      <c r="G72" s="196">
        <v>17125414</v>
      </c>
      <c r="H72" s="195">
        <v>341</v>
      </c>
      <c r="I72" s="196">
        <v>2988281</v>
      </c>
      <c r="J72" s="195">
        <v>201</v>
      </c>
      <c r="K72" s="196">
        <v>18587</v>
      </c>
      <c r="L72" s="195">
        <v>187</v>
      </c>
      <c r="M72" s="196">
        <v>54715</v>
      </c>
      <c r="N72" s="195">
        <v>0</v>
      </c>
      <c r="O72" s="196">
        <v>0</v>
      </c>
    </row>
    <row r="73" spans="2:15" s="154" customFormat="1" ht="18" customHeight="1">
      <c r="B73" s="585" t="s">
        <v>39</v>
      </c>
      <c r="C73" s="585"/>
      <c r="D73" s="195">
        <v>3055</v>
      </c>
      <c r="E73" s="196">
        <v>1508310</v>
      </c>
      <c r="F73" s="195">
        <v>1723</v>
      </c>
      <c r="G73" s="196">
        <v>1401395</v>
      </c>
      <c r="H73" s="195">
        <v>78</v>
      </c>
      <c r="I73" s="196">
        <v>292145</v>
      </c>
      <c r="J73" s="195">
        <v>1218</v>
      </c>
      <c r="K73" s="196">
        <v>50507</v>
      </c>
      <c r="L73" s="195">
        <v>114</v>
      </c>
      <c r="M73" s="196">
        <v>56408</v>
      </c>
      <c r="N73" s="195">
        <v>0</v>
      </c>
      <c r="O73" s="196">
        <v>0</v>
      </c>
    </row>
    <row r="74" spans="2:15" s="154" customFormat="1" ht="18" customHeight="1">
      <c r="B74" s="585" t="s">
        <v>40</v>
      </c>
      <c r="C74" s="585"/>
      <c r="D74" s="195">
        <v>3105</v>
      </c>
      <c r="E74" s="196">
        <v>1611129</v>
      </c>
      <c r="F74" s="195">
        <v>1662</v>
      </c>
      <c r="G74" s="196">
        <v>1501177</v>
      </c>
      <c r="H74" s="195">
        <v>101</v>
      </c>
      <c r="I74" s="196">
        <v>312502</v>
      </c>
      <c r="J74" s="195">
        <v>1198</v>
      </c>
      <c r="K74" s="196">
        <v>49063</v>
      </c>
      <c r="L74" s="195">
        <v>244</v>
      </c>
      <c r="M74" s="196">
        <v>60390</v>
      </c>
      <c r="N74" s="195">
        <v>1</v>
      </c>
      <c r="O74" s="196">
        <v>499</v>
      </c>
    </row>
    <row r="75" spans="2:15" s="154" customFormat="1" ht="18" customHeight="1">
      <c r="B75" s="585" t="s">
        <v>41</v>
      </c>
      <c r="C75" s="585"/>
      <c r="D75" s="195">
        <f t="shared" ref="D75:E83" si="19">+F75+J75+L75+N75</f>
        <v>3308</v>
      </c>
      <c r="E75" s="196">
        <f t="shared" si="19"/>
        <v>2022004</v>
      </c>
      <c r="F75" s="195">
        <v>1803</v>
      </c>
      <c r="G75" s="196">
        <v>1925247</v>
      </c>
      <c r="H75" s="195">
        <v>192</v>
      </c>
      <c r="I75" s="196">
        <v>612677</v>
      </c>
      <c r="J75" s="195">
        <v>1307</v>
      </c>
      <c r="K75" s="196">
        <v>52451</v>
      </c>
      <c r="L75" s="195">
        <v>198</v>
      </c>
      <c r="M75" s="196">
        <v>44306</v>
      </c>
      <c r="N75" s="195">
        <v>0</v>
      </c>
      <c r="O75" s="196">
        <v>0</v>
      </c>
    </row>
    <row r="76" spans="2:15" s="154" customFormat="1" ht="18" customHeight="1">
      <c r="B76" s="585" t="s">
        <v>42</v>
      </c>
      <c r="C76" s="585"/>
      <c r="D76" s="195">
        <f t="shared" si="19"/>
        <v>3307</v>
      </c>
      <c r="E76" s="196">
        <f t="shared" si="19"/>
        <v>2069321</v>
      </c>
      <c r="F76" s="195">
        <v>1918</v>
      </c>
      <c r="G76" s="196">
        <v>1991797</v>
      </c>
      <c r="H76" s="195">
        <v>208</v>
      </c>
      <c r="I76" s="196">
        <v>677621</v>
      </c>
      <c r="J76" s="195">
        <v>1249</v>
      </c>
      <c r="K76" s="196">
        <v>48988</v>
      </c>
      <c r="L76" s="195">
        <v>140</v>
      </c>
      <c r="M76" s="196">
        <v>28536</v>
      </c>
      <c r="N76" s="195">
        <v>0</v>
      </c>
      <c r="O76" s="196">
        <v>0</v>
      </c>
    </row>
    <row r="77" spans="2:15" s="154" customFormat="1" ht="18" customHeight="1">
      <c r="B77" s="585" t="s">
        <v>43</v>
      </c>
      <c r="C77" s="585"/>
      <c r="D77" s="195">
        <f t="shared" si="19"/>
        <v>3109</v>
      </c>
      <c r="E77" s="196">
        <f t="shared" si="19"/>
        <v>1990309</v>
      </c>
      <c r="F77" s="195">
        <f>1705+H77</f>
        <v>1909</v>
      </c>
      <c r="G77" s="196">
        <f>1229204+I77</f>
        <v>1907677</v>
      </c>
      <c r="H77" s="195">
        <v>204</v>
      </c>
      <c r="I77" s="196">
        <v>678473</v>
      </c>
      <c r="J77" s="195">
        <v>1058</v>
      </c>
      <c r="K77" s="196">
        <v>42894</v>
      </c>
      <c r="L77" s="195">
        <v>142</v>
      </c>
      <c r="M77" s="196">
        <v>39738</v>
      </c>
      <c r="N77" s="195">
        <v>0</v>
      </c>
      <c r="O77" s="196">
        <v>0</v>
      </c>
    </row>
    <row r="78" spans="2:15" s="154" customFormat="1" ht="18" customHeight="1">
      <c r="B78" s="585" t="s">
        <v>44</v>
      </c>
      <c r="C78" s="585"/>
      <c r="D78" s="195">
        <f t="shared" si="19"/>
        <v>2749</v>
      </c>
      <c r="E78" s="196">
        <f t="shared" si="19"/>
        <v>1511314</v>
      </c>
      <c r="F78" s="195">
        <v>1637</v>
      </c>
      <c r="G78" s="196">
        <v>1436145</v>
      </c>
      <c r="H78" s="195">
        <v>112</v>
      </c>
      <c r="I78" s="196">
        <v>311947</v>
      </c>
      <c r="J78" s="195">
        <v>988</v>
      </c>
      <c r="K78" s="196">
        <v>38532</v>
      </c>
      <c r="L78" s="195">
        <v>123</v>
      </c>
      <c r="M78" s="196">
        <v>36139</v>
      </c>
      <c r="N78" s="195">
        <v>1</v>
      </c>
      <c r="O78" s="196">
        <v>498</v>
      </c>
    </row>
    <row r="79" spans="2:15" s="154" customFormat="1" ht="17.25" customHeight="1">
      <c r="B79" s="585" t="s">
        <v>45</v>
      </c>
      <c r="C79" s="585"/>
      <c r="D79" s="195">
        <f t="shared" si="19"/>
        <v>2710</v>
      </c>
      <c r="E79" s="196">
        <f t="shared" si="19"/>
        <v>1637943</v>
      </c>
      <c r="F79" s="195">
        <v>1602</v>
      </c>
      <c r="G79" s="196">
        <v>1567997</v>
      </c>
      <c r="H79" s="195">
        <v>109</v>
      </c>
      <c r="I79" s="196">
        <v>399399</v>
      </c>
      <c r="J79" s="195">
        <v>980</v>
      </c>
      <c r="K79" s="196">
        <v>38200</v>
      </c>
      <c r="L79" s="195">
        <v>127</v>
      </c>
      <c r="M79" s="196">
        <v>31645</v>
      </c>
      <c r="N79" s="195">
        <v>1</v>
      </c>
      <c r="O79" s="196">
        <v>101</v>
      </c>
    </row>
    <row r="80" spans="2:15" s="154" customFormat="1" ht="17.25" customHeight="1">
      <c r="B80" s="585" t="s">
        <v>46</v>
      </c>
      <c r="C80" s="585"/>
      <c r="D80" s="195">
        <f t="shared" si="19"/>
        <v>2678</v>
      </c>
      <c r="E80" s="196">
        <f t="shared" si="19"/>
        <v>1578325</v>
      </c>
      <c r="F80" s="195">
        <v>1573</v>
      </c>
      <c r="G80" s="196">
        <v>1512812</v>
      </c>
      <c r="H80" s="195">
        <v>94</v>
      </c>
      <c r="I80" s="196">
        <v>364796</v>
      </c>
      <c r="J80" s="195">
        <v>1018</v>
      </c>
      <c r="K80" s="196">
        <v>39702</v>
      </c>
      <c r="L80" s="195">
        <v>82</v>
      </c>
      <c r="M80" s="196">
        <v>23865</v>
      </c>
      <c r="N80" s="195">
        <v>5</v>
      </c>
      <c r="O80" s="196">
        <v>1946</v>
      </c>
    </row>
    <row r="81" spans="2:15" s="154" customFormat="1" ht="17.25" customHeight="1">
      <c r="B81" s="585" t="s">
        <v>47</v>
      </c>
      <c r="C81" s="585"/>
      <c r="D81" s="195">
        <f t="shared" si="19"/>
        <v>2528</v>
      </c>
      <c r="E81" s="196">
        <f t="shared" si="19"/>
        <v>1569395</v>
      </c>
      <c r="F81" s="195">
        <v>1460</v>
      </c>
      <c r="G81" s="196">
        <v>1511598</v>
      </c>
      <c r="H81" s="195">
        <v>108</v>
      </c>
      <c r="I81" s="196">
        <v>362375</v>
      </c>
      <c r="J81" s="195">
        <v>990</v>
      </c>
      <c r="K81" s="196">
        <v>38294</v>
      </c>
      <c r="L81" s="195">
        <v>77</v>
      </c>
      <c r="M81" s="196">
        <v>17904</v>
      </c>
      <c r="N81" s="195">
        <v>1</v>
      </c>
      <c r="O81" s="196">
        <v>1599</v>
      </c>
    </row>
    <row r="82" spans="2:15" s="154" customFormat="1" ht="17.25" customHeight="1">
      <c r="B82" s="585" t="s">
        <v>48</v>
      </c>
      <c r="C82" s="585"/>
      <c r="D82" s="195">
        <f t="shared" si="19"/>
        <v>2557</v>
      </c>
      <c r="E82" s="196">
        <f t="shared" si="19"/>
        <v>1603616</v>
      </c>
      <c r="F82" s="195">
        <v>1411</v>
      </c>
      <c r="G82" s="196">
        <v>1543314</v>
      </c>
      <c r="H82" s="195">
        <v>108</v>
      </c>
      <c r="I82" s="196">
        <v>395299</v>
      </c>
      <c r="J82" s="195">
        <v>1019</v>
      </c>
      <c r="K82" s="196">
        <v>39741</v>
      </c>
      <c r="L82" s="195">
        <v>125</v>
      </c>
      <c r="M82" s="196">
        <v>20523</v>
      </c>
      <c r="N82" s="195">
        <v>2</v>
      </c>
      <c r="O82" s="196">
        <v>38</v>
      </c>
    </row>
    <row r="83" spans="2:15" s="154" customFormat="1" ht="17.25" customHeight="1">
      <c r="B83" s="585" t="s">
        <v>49</v>
      </c>
      <c r="C83" s="585"/>
      <c r="D83" s="195">
        <f t="shared" si="19"/>
        <v>2379</v>
      </c>
      <c r="E83" s="196">
        <f t="shared" si="19"/>
        <v>1565987</v>
      </c>
      <c r="F83" s="195">
        <v>1409</v>
      </c>
      <c r="G83" s="196">
        <v>1511284</v>
      </c>
      <c r="H83" s="195">
        <v>96</v>
      </c>
      <c r="I83" s="196">
        <v>356376</v>
      </c>
      <c r="J83" s="195">
        <v>874</v>
      </c>
      <c r="K83" s="196">
        <v>34086</v>
      </c>
      <c r="L83" s="195">
        <v>92</v>
      </c>
      <c r="M83" s="196">
        <v>20281</v>
      </c>
      <c r="N83" s="195">
        <v>4</v>
      </c>
      <c r="O83" s="196">
        <v>336</v>
      </c>
    </row>
    <row r="84" spans="2:15" s="154" customFormat="1" ht="17.25" customHeight="1">
      <c r="B84" s="585" t="s">
        <v>50</v>
      </c>
      <c r="C84" s="585"/>
      <c r="D84" s="195">
        <f>+F84+J84+L84+N84</f>
        <v>2366</v>
      </c>
      <c r="E84" s="196">
        <f>+G84+K84+M84+O84</f>
        <v>1572192</v>
      </c>
      <c r="F84" s="195">
        <v>1474</v>
      </c>
      <c r="G84" s="196">
        <v>1516693</v>
      </c>
      <c r="H84" s="195">
        <v>70</v>
      </c>
      <c r="I84" s="196">
        <v>278476</v>
      </c>
      <c r="J84" s="195">
        <v>818</v>
      </c>
      <c r="K84" s="196">
        <v>31902</v>
      </c>
      <c r="L84" s="195">
        <v>74</v>
      </c>
      <c r="M84" s="196">
        <v>23597</v>
      </c>
      <c r="N84" s="195">
        <v>0</v>
      </c>
      <c r="O84" s="196">
        <v>0</v>
      </c>
    </row>
    <row r="85" spans="2:15" s="154" customFormat="1" ht="17.25" customHeight="1">
      <c r="B85" s="585" t="s">
        <v>51</v>
      </c>
      <c r="C85" s="585"/>
      <c r="D85" s="195">
        <f>+F85+J85+L85+N85</f>
        <v>2228</v>
      </c>
      <c r="E85" s="196">
        <f>+G85+K85+M85+O85</f>
        <v>1545104</v>
      </c>
      <c r="F85" s="195">
        <v>1400</v>
      </c>
      <c r="G85" s="196">
        <v>1492472</v>
      </c>
      <c r="H85" s="195">
        <v>64</v>
      </c>
      <c r="I85" s="196">
        <v>284886</v>
      </c>
      <c r="J85" s="195">
        <v>749</v>
      </c>
      <c r="K85" s="196">
        <v>29211</v>
      </c>
      <c r="L85" s="195">
        <v>78</v>
      </c>
      <c r="M85" s="196">
        <v>22922</v>
      </c>
      <c r="N85" s="195">
        <v>1</v>
      </c>
      <c r="O85" s="196">
        <v>499</v>
      </c>
    </row>
    <row r="86" spans="2:15" s="150" customFormat="1" ht="15" customHeight="1">
      <c r="O86" s="186" t="s">
        <v>163</v>
      </c>
    </row>
    <row r="87" spans="2:15" s="150" customFormat="1" ht="11.25"/>
    <row r="88" spans="2:15" s="150" customFormat="1" ht="11.25">
      <c r="D88" s="197"/>
      <c r="E88" s="197"/>
      <c r="F88" s="197"/>
      <c r="G88" s="197"/>
      <c r="I88" s="197"/>
      <c r="J88" s="197"/>
      <c r="K88" s="197"/>
      <c r="M88" s="197"/>
    </row>
  </sheetData>
  <mergeCells count="72">
    <mergeCell ref="B12:B13"/>
    <mergeCell ref="B14:C14"/>
    <mergeCell ref="B15:B16"/>
    <mergeCell ref="B11:C11"/>
    <mergeCell ref="B3:C4"/>
    <mergeCell ref="D3:E3"/>
    <mergeCell ref="F3:G3"/>
    <mergeCell ref="H3:I3"/>
    <mergeCell ref="N3:O3"/>
    <mergeCell ref="B5:C5"/>
    <mergeCell ref="B6:B7"/>
    <mergeCell ref="B8:C8"/>
    <mergeCell ref="B9:B10"/>
    <mergeCell ref="J3:K3"/>
    <mergeCell ref="L3:M3"/>
    <mergeCell ref="B17:C17"/>
    <mergeCell ref="B18:B19"/>
    <mergeCell ref="B38:C38"/>
    <mergeCell ref="B21:B22"/>
    <mergeCell ref="B23:C23"/>
    <mergeCell ref="B24:B25"/>
    <mergeCell ref="B26:C26"/>
    <mergeCell ref="B27:B28"/>
    <mergeCell ref="B29:C29"/>
    <mergeCell ref="B30:B31"/>
    <mergeCell ref="B32:C32"/>
    <mergeCell ref="B33:B34"/>
    <mergeCell ref="B35:C35"/>
    <mergeCell ref="B36:B37"/>
    <mergeCell ref="B20:C20"/>
    <mergeCell ref="B56:C56"/>
    <mergeCell ref="B39:B40"/>
    <mergeCell ref="B41:C41"/>
    <mergeCell ref="B42:B43"/>
    <mergeCell ref="B44:C44"/>
    <mergeCell ref="B45:B46"/>
    <mergeCell ref="B47:C47"/>
    <mergeCell ref="B48:B49"/>
    <mergeCell ref="B50:C50"/>
    <mergeCell ref="B51:B52"/>
    <mergeCell ref="B53:C53"/>
    <mergeCell ref="B54:B55"/>
    <mergeCell ref="B57:B58"/>
    <mergeCell ref="B59:C59"/>
    <mergeCell ref="B60:B61"/>
    <mergeCell ref="B64:C66"/>
    <mergeCell ref="D64:E65"/>
    <mergeCell ref="B73:C73"/>
    <mergeCell ref="J64:K65"/>
    <mergeCell ref="L64:M65"/>
    <mergeCell ref="N64:O65"/>
    <mergeCell ref="F65:G65"/>
    <mergeCell ref="H65:I65"/>
    <mergeCell ref="B67:C67"/>
    <mergeCell ref="F64:I64"/>
    <mergeCell ref="B68:C68"/>
    <mergeCell ref="B69:C69"/>
    <mergeCell ref="B70:C70"/>
    <mergeCell ref="B71:C71"/>
    <mergeCell ref="B72:C72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</mergeCells>
  <phoneticPr fontId="1"/>
  <pageMargins left="0.59055118110236227" right="0.59055118110236227" top="0.78740157480314965" bottom="0.47" header="0.39370078740157483" footer="0.39370078740157483"/>
  <pageSetup paperSize="9" scale="98" orientation="portrait" r:id="rId1"/>
  <headerFooter alignWithMargins="0">
    <oddHeader>&amp;R15.交通・通信</oddHeader>
    <oddFooter>&amp;C-108-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O-1</vt:lpstr>
      <vt:lpstr>O-2</vt:lpstr>
      <vt:lpstr>O-3</vt:lpstr>
      <vt:lpstr>O-4</vt:lpstr>
      <vt:lpstr>O-5</vt:lpstr>
      <vt:lpstr>0-6 </vt:lpstr>
      <vt:lpstr>O-7</vt:lpstr>
      <vt:lpstr>O-8</vt:lpstr>
      <vt:lpstr>O-9</vt:lpstr>
      <vt:lpstr>O-10</vt:lpstr>
      <vt:lpstr>O-11</vt:lpstr>
      <vt:lpstr>O-12</vt:lpstr>
      <vt:lpstr>Sheet1</vt:lpstr>
      <vt:lpstr>'O-5'!Print_Area</vt:lpstr>
      <vt:lpstr>'O-9'!Print_Area</vt:lpstr>
      <vt:lpstr>'O-10'!Print_Titles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2017-05-24T05:17:35Z</dcterms:created>
  <dcterms:modified xsi:type="dcterms:W3CDTF">2017-06-21T06:57:10Z</dcterms:modified>
</cp:coreProperties>
</file>