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6315" windowHeight="8220" activeTab="0"/>
  </bookViews>
  <sheets>
    <sheet name="O-1" sheetId="1" r:id="rId1"/>
    <sheet name="O-2" sheetId="2" r:id="rId2"/>
    <sheet name="O-3" sheetId="3" r:id="rId3"/>
    <sheet name="O-4" sheetId="4" r:id="rId4"/>
    <sheet name="O-5" sheetId="5" r:id="rId5"/>
    <sheet name="0-6 " sheetId="6" r:id="rId6"/>
    <sheet name="O-7" sheetId="7" r:id="rId7"/>
    <sheet name="O-8" sheetId="8" r:id="rId8"/>
    <sheet name="O-9" sheetId="9" r:id="rId9"/>
    <sheet name="O-10" sheetId="10" r:id="rId10"/>
    <sheet name="O-11" sheetId="11" r:id="rId11"/>
    <sheet name="O-12" sheetId="12" r:id="rId12"/>
  </sheets>
  <externalReferences>
    <externalReference r:id="rId15"/>
  </externalReferences>
  <definedNames>
    <definedName name="_xlnm.Print_Area" localSheetId="8">'O-9'!$A$1:$O$82</definedName>
    <definedName name="_xlnm.Print_Titles" localSheetId="9">'O-10'!$3:$5</definedName>
  </definedNames>
  <calcPr fullCalcOnLoad="1"/>
</workbook>
</file>

<file path=xl/sharedStrings.xml><?xml version="1.0" encoding="utf-8"?>
<sst xmlns="http://schemas.openxmlformats.org/spreadsheetml/2006/main" count="1143" uniqueCount="475">
  <si>
    <t>実延長</t>
  </si>
  <si>
    <t>年次</t>
  </si>
  <si>
    <t>路面別実延長内訳</t>
  </si>
  <si>
    <t>国道</t>
  </si>
  <si>
    <t>県道</t>
  </si>
  <si>
    <t>砂利</t>
  </si>
  <si>
    <t>舗装</t>
  </si>
  <si>
    <t>平成17年</t>
  </si>
  <si>
    <t>三国町</t>
  </si>
  <si>
    <t>丸岡町</t>
  </si>
  <si>
    <t>坂井町</t>
  </si>
  <si>
    <t>春江町</t>
  </si>
  <si>
    <t>平成15年</t>
  </si>
  <si>
    <t>平成16年</t>
  </si>
  <si>
    <t>平成12年</t>
  </si>
  <si>
    <t>平成13年</t>
  </si>
  <si>
    <t>平成14年</t>
  </si>
  <si>
    <t>平成18年</t>
  </si>
  <si>
    <t>単位：km</t>
  </si>
  <si>
    <t>平成10年</t>
  </si>
  <si>
    <t>平成11年</t>
  </si>
  <si>
    <t>O-1．道路現況</t>
  </si>
  <si>
    <t>-</t>
  </si>
  <si>
    <t>市 （町） 道</t>
  </si>
  <si>
    <t>平成19年</t>
  </si>
  <si>
    <t>平成20年</t>
  </si>
  <si>
    <t>平成21年</t>
  </si>
  <si>
    <t>各年4月1日現在</t>
  </si>
  <si>
    <t>出典：道路現況表（福井県土木部道路保全課）</t>
  </si>
  <si>
    <t>平成22年</t>
  </si>
  <si>
    <t>平成23年</t>
  </si>
  <si>
    <t>資料：建設課</t>
  </si>
  <si>
    <t>平成24年</t>
  </si>
  <si>
    <t>平成25年</t>
  </si>
  <si>
    <t>平成26年</t>
  </si>
  <si>
    <t>平成27年</t>
  </si>
  <si>
    <t>※国道・県道は平成26年4月1日現在の数値</t>
  </si>
  <si>
    <t>O-2．主要地方道・一般県道の状況</t>
  </si>
  <si>
    <r>
      <t>平成27</t>
    </r>
    <r>
      <rPr>
        <sz val="11"/>
        <rFont val="ＭＳ Ｐゴシック"/>
        <family val="3"/>
      </rPr>
      <t>年4月1日現在</t>
    </r>
  </si>
  <si>
    <t>単位：ｍ</t>
  </si>
  <si>
    <t>種類</t>
  </si>
  <si>
    <t>路線
番号</t>
  </si>
  <si>
    <t>路線名</t>
  </si>
  <si>
    <t>起点</t>
  </si>
  <si>
    <t>終点</t>
  </si>
  <si>
    <t>路線</t>
  </si>
  <si>
    <t>市域内</t>
  </si>
  <si>
    <t>総延長</t>
  </si>
  <si>
    <t>実延長</t>
  </si>
  <si>
    <t>舗装済
延長</t>
  </si>
  <si>
    <t>改良済
延長</t>
  </si>
  <si>
    <t>８号</t>
  </si>
  <si>
    <t>新潟県新潟市</t>
  </si>
  <si>
    <t>京都府京都市</t>
  </si>
  <si>
    <t>一般国道</t>
  </si>
  <si>
    <t>３０５号</t>
  </si>
  <si>
    <t>石川県金沢市</t>
  </si>
  <si>
    <t>南条郡南越前町</t>
  </si>
  <si>
    <t>３６４号</t>
  </si>
  <si>
    <t>福井県大野市</t>
  </si>
  <si>
    <t>石川県加賀市</t>
  </si>
  <si>
    <t>主要
地方道</t>
  </si>
  <si>
    <t>福井加賀線</t>
  </si>
  <si>
    <t>福井市淵上町</t>
  </si>
  <si>
    <t>三国東尋坊芦原線</t>
  </si>
  <si>
    <t>坂井市三国町中元</t>
  </si>
  <si>
    <t>あわら市舟津</t>
  </si>
  <si>
    <t>芦原丸岡線</t>
  </si>
  <si>
    <t>あわら市温泉３丁目</t>
  </si>
  <si>
    <t>坂井市丸岡町朝陽2丁目</t>
  </si>
  <si>
    <t>丸岡川西線</t>
  </si>
  <si>
    <t>坂井市丸岡町山口</t>
  </si>
  <si>
    <t>福井市佐野町</t>
  </si>
  <si>
    <t>勝山丸岡線</t>
  </si>
  <si>
    <t>勝山市平泉寺町大渡り</t>
  </si>
  <si>
    <t>坂井市丸岡町朝陽1丁目</t>
  </si>
  <si>
    <t>三国春江線</t>
  </si>
  <si>
    <t>坂井市三国町山岸</t>
  </si>
  <si>
    <t>坂井市春江町西長田</t>
  </si>
  <si>
    <t>福井金津線</t>
  </si>
  <si>
    <t>福井市天池町</t>
  </si>
  <si>
    <t>あわら市吉崎</t>
  </si>
  <si>
    <t>福井丸岡線</t>
  </si>
  <si>
    <t>福井市順化1丁目</t>
  </si>
  <si>
    <t>坂井市丸岡町今福</t>
  </si>
  <si>
    <t>丸岡インター線</t>
  </si>
  <si>
    <t>丸岡インター</t>
  </si>
  <si>
    <t>一般県道</t>
  </si>
  <si>
    <t>三国金津線</t>
  </si>
  <si>
    <t>あわら市六日</t>
  </si>
  <si>
    <t>春江川西線</t>
  </si>
  <si>
    <t>坂井市春江町中筋</t>
  </si>
  <si>
    <t>福井市砂子坂町</t>
  </si>
  <si>
    <t>福井三国線</t>
  </si>
  <si>
    <t>福井市三ツ屋町</t>
  </si>
  <si>
    <t>坂井市三国町岩崎</t>
  </si>
  <si>
    <t>三国丸岡停車場線</t>
  </si>
  <si>
    <t>坂井市三国町山王５丁目</t>
  </si>
  <si>
    <t>丸岡停車場</t>
  </si>
  <si>
    <t>春江丸岡線</t>
  </si>
  <si>
    <t>坂井市春江町江留中</t>
  </si>
  <si>
    <t>坂井市丸岡町本町３丁目</t>
  </si>
  <si>
    <t>南横地芦原線</t>
  </si>
  <si>
    <t>坂井市丸岡町南横地</t>
  </si>
  <si>
    <t>あわら市下番</t>
  </si>
  <si>
    <t>中川松岡線</t>
  </si>
  <si>
    <t>あわら市中川</t>
  </si>
  <si>
    <t>永平寺町春日一丁目</t>
  </si>
  <si>
    <t>栃神谷鳴鹿森田線</t>
  </si>
  <si>
    <t>勝山市村岡町栃神谷</t>
  </si>
  <si>
    <t>福井市栄町</t>
  </si>
  <si>
    <t>三国停車場線</t>
  </si>
  <si>
    <t>三国停車場</t>
  </si>
  <si>
    <t>坂井市三国町今新</t>
  </si>
  <si>
    <t>瓜生今福線</t>
  </si>
  <si>
    <t>あわら市瓜生</t>
  </si>
  <si>
    <t>加戸三国線</t>
  </si>
  <si>
    <t>坂井市三国町加戸</t>
  </si>
  <si>
    <t>坂井市三国町錦</t>
  </si>
  <si>
    <t>波松芦原線</t>
  </si>
  <si>
    <t>あわら市波松</t>
  </si>
  <si>
    <t>高柳矢地線</t>
  </si>
  <si>
    <t>坂井市坂井町高柳</t>
  </si>
  <si>
    <t>あわら市矢地</t>
  </si>
  <si>
    <t>八幡横越線</t>
  </si>
  <si>
    <t>福井市八幡</t>
  </si>
  <si>
    <t>坂井市三国町横越</t>
  </si>
  <si>
    <t>佐野山岸線</t>
  </si>
  <si>
    <t>福井市佐野町</t>
  </si>
  <si>
    <t>長畑金津線</t>
  </si>
  <si>
    <t>坂井市坂井町長畑</t>
  </si>
  <si>
    <t>板倉高江線</t>
  </si>
  <si>
    <t>坂井市丸岡町板倉</t>
  </si>
  <si>
    <t>坂井市春江町高江</t>
  </si>
  <si>
    <t>高江針原線</t>
  </si>
  <si>
    <t>坂井市春江町高江</t>
  </si>
  <si>
    <t>坂井市春江町針原</t>
  </si>
  <si>
    <t>北潟平山線</t>
  </si>
  <si>
    <t>あわら市北潟</t>
  </si>
  <si>
    <t>坂井市三国町平山</t>
  </si>
  <si>
    <t>磯部島西瓜屋線</t>
  </si>
  <si>
    <t>坂井市丸岡町磯部島</t>
  </si>
  <si>
    <t>三国停車場桜谷線</t>
  </si>
  <si>
    <t>坂井市三国町三国東</t>
  </si>
  <si>
    <t>竹田東古市停車場線</t>
  </si>
  <si>
    <t>坂井市丸岡町山竹田</t>
  </si>
  <si>
    <t>東古市停車場</t>
  </si>
  <si>
    <t>福井空港線</t>
  </si>
  <si>
    <t>坂井市春江町江留中</t>
  </si>
  <si>
    <t>福井空港</t>
  </si>
  <si>
    <t>福井港線</t>
  </si>
  <si>
    <t>福井市白方町</t>
  </si>
  <si>
    <t>坂井金津線</t>
  </si>
  <si>
    <t>あわら市池口</t>
  </si>
  <si>
    <t>龍ヶ鼻ダム公園線</t>
  </si>
  <si>
    <t>坂井市丸岡町山竹田</t>
  </si>
  <si>
    <t>坂井市丸岡町山口</t>
  </si>
  <si>
    <t>資料：建設課</t>
  </si>
  <si>
    <t>O-3．北陸自動車道利用状況</t>
  </si>
  <si>
    <t>単位：台</t>
  </si>
  <si>
    <t>年度</t>
  </si>
  <si>
    <t>区分</t>
  </si>
  <si>
    <t>計</t>
  </si>
  <si>
    <t>金津IC</t>
  </si>
  <si>
    <t>丸岡IC</t>
  </si>
  <si>
    <t>福井北IC</t>
  </si>
  <si>
    <t>福井IC</t>
  </si>
  <si>
    <t>鯖江IC</t>
  </si>
  <si>
    <t>武生IC</t>
  </si>
  <si>
    <t>今庄IC</t>
  </si>
  <si>
    <t>敦賀IC</t>
  </si>
  <si>
    <t>平成10年度</t>
  </si>
  <si>
    <t>入口</t>
  </si>
  <si>
    <t>出口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</si>
  <si>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</si>
  <si>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</si>
  <si>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</si>
  <si>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</si>
  <si>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</si>
  <si>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</si>
  <si>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</si>
  <si>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</si>
  <si>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</si>
  <si>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</si>
  <si>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</si>
  <si>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</si>
  <si>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</si>
  <si>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</si>
  <si>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</si>
  <si>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</si>
  <si>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※平成19年度から、入口・出口を合計した数字を掲載</t>
  </si>
  <si>
    <t>資料：中日本高速道路㈱　金沢支社</t>
  </si>
  <si>
    <t>出典：福井県統計年鑑</t>
  </si>
  <si>
    <t>O-4．駅別ＪＲ貨客輸送状況（1日平均）</t>
  </si>
  <si>
    <t>駅名</t>
  </si>
  <si>
    <t>丸岡</t>
  </si>
  <si>
    <t>春江</t>
  </si>
  <si>
    <t>旅客</t>
  </si>
  <si>
    <t>貨物</t>
  </si>
  <si>
    <t>総数</t>
  </si>
  <si>
    <t>定期外</t>
  </si>
  <si>
    <t>定期</t>
  </si>
  <si>
    <t>発送ﾄﾝ数</t>
  </si>
  <si>
    <t>到着ﾄﾝ数</t>
  </si>
  <si>
    <t>貨物収入</t>
  </si>
  <si>
    <t>（人）</t>
  </si>
  <si>
    <t>（人）</t>
  </si>
  <si>
    <t>　（人）</t>
  </si>
  <si>
    <t>（ｔ）</t>
  </si>
  <si>
    <t>（ｔ）</t>
  </si>
  <si>
    <t>（円）</t>
  </si>
  <si>
    <t>平成10年度</t>
  </si>
  <si>
    <t>－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</si>
  <si>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</si>
  <si>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</si>
  <si>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</si>
  <si>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</si>
  <si>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</si>
  <si>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</si>
  <si>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</si>
  <si>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</si>
  <si>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－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</si>
  <si>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</si>
  <si>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</si>
  <si>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</si>
  <si>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</si>
  <si>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</si>
  <si>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</si>
  <si>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</si>
  <si>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</si>
  <si>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資料：西日本旅客鉄道㈱・日本貨物鉄道㈱</t>
  </si>
  <si>
    <t>O-5．地方鉄道輸送状況（乗車1日平均）</t>
  </si>
  <si>
    <t>単位：人</t>
  </si>
  <si>
    <t>駅名称</t>
  </si>
  <si>
    <t>三国港</t>
  </si>
  <si>
    <t>三国</t>
  </si>
  <si>
    <t>三国神社</t>
  </si>
  <si>
    <t>水居</t>
  </si>
  <si>
    <t>大関</t>
  </si>
  <si>
    <t>下兵庫</t>
  </si>
  <si>
    <t>西長田</t>
  </si>
  <si>
    <t>西春江</t>
  </si>
  <si>
    <t>太郎丸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</si>
  <si>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</si>
  <si>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</si>
  <si>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</si>
  <si>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</si>
  <si>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</si>
  <si>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</si>
  <si>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</si>
  <si>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</si>
  <si>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</si>
  <si>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</si>
  <si>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</si>
  <si>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</si>
  <si>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資料：えちぜん鉄道㈱</t>
  </si>
  <si>
    <t>O-6．コミュニティバス利用状況</t>
  </si>
  <si>
    <t>単位：人</t>
  </si>
  <si>
    <t>コミュニティバス利用者数</t>
  </si>
  <si>
    <t>基幹ルート</t>
  </si>
  <si>
    <r>
      <rPr>
        <sz val="9"/>
        <rFont val="ＭＳ Ｐゴシック"/>
        <family val="3"/>
      </rPr>
      <t>接続ルート</t>
    </r>
  </si>
  <si>
    <t>合計</t>
  </si>
  <si>
    <t>三国坂井(右回り)</t>
  </si>
  <si>
    <t>三国坂井(左回り)</t>
  </si>
  <si>
    <t>丸岡春江(右回り)</t>
  </si>
  <si>
    <t>丸岡春江(左回り)</t>
  </si>
  <si>
    <t xml:space="preserve"> 雄     島　</t>
  </si>
  <si>
    <t xml:space="preserve"> 加戸・三国東部</t>
  </si>
  <si>
    <t xml:space="preserve"> （旧）三国東部 </t>
  </si>
  <si>
    <t xml:space="preserve"> 浜  四  郷</t>
  </si>
  <si>
    <t xml:space="preserve"> 坂     井　</t>
  </si>
  <si>
    <t xml:space="preserve"> （旧）坂井西部</t>
  </si>
  <si>
    <t xml:space="preserve"> 春江北部東部</t>
  </si>
  <si>
    <t xml:space="preserve"> 春江西部中部</t>
  </si>
  <si>
    <t xml:space="preserve"> 長     畝</t>
  </si>
  <si>
    <t xml:space="preserve"> 高  椋  西</t>
  </si>
  <si>
    <t xml:space="preserve"> 高  椋  中</t>
  </si>
  <si>
    <t xml:space="preserve"> 鳴     鹿</t>
  </si>
  <si>
    <t>※平成21年度の接続ルートはH21.9月～H22.3月分</t>
  </si>
  <si>
    <t>資料：市民生活課</t>
  </si>
  <si>
    <t>O-7．車種別自動車保有状況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</si>
  <si>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</si>
  <si>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総計</t>
  </si>
  <si>
    <t>登録車</t>
  </si>
  <si>
    <t>小型
二輪</t>
  </si>
  <si>
    <t>軽</t>
  </si>
  <si>
    <t>計</t>
  </si>
  <si>
    <t>貨物</t>
  </si>
  <si>
    <t>乗合</t>
  </si>
  <si>
    <t>乗用</t>
  </si>
  <si>
    <t>特種(殊)</t>
  </si>
  <si>
    <t>二輪</t>
  </si>
  <si>
    <t>貨物</t>
  </si>
  <si>
    <t>乗用</t>
  </si>
  <si>
    <t>特殊
用途用</t>
  </si>
  <si>
    <t>普通</t>
  </si>
  <si>
    <t>小型</t>
  </si>
  <si>
    <t>被けん引</t>
  </si>
  <si>
    <t>特殊
用途</t>
  </si>
  <si>
    <t>大型
特殊</t>
  </si>
  <si>
    <t>坂井町</t>
  </si>
  <si>
    <t>資料：中部運輸局福井運輸支局</t>
  </si>
  <si>
    <t>O-8．自動車運転免許保有者数</t>
  </si>
  <si>
    <r>
      <t>各年1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月31日現在</t>
    </r>
  </si>
  <si>
    <t>単位：人</t>
  </si>
  <si>
    <t>総合計</t>
  </si>
  <si>
    <t>区
分</t>
  </si>
  <si>
    <t>男女別計</t>
  </si>
  <si>
    <t>年齢別</t>
  </si>
  <si>
    <t>16～19</t>
  </si>
  <si>
    <t>20～24</t>
  </si>
  <si>
    <t>25～29</t>
  </si>
  <si>
    <t>30～39</t>
  </si>
  <si>
    <t>40～49</t>
  </si>
  <si>
    <t>50～59</t>
  </si>
  <si>
    <t>60～64</t>
  </si>
  <si>
    <t>65～69</t>
  </si>
  <si>
    <t>70～74</t>
  </si>
  <si>
    <t>75以上</t>
  </si>
  <si>
    <t>男</t>
  </si>
  <si>
    <t>女</t>
  </si>
  <si>
    <t>出典：福井の交通</t>
  </si>
  <si>
    <t>O-9．福井港入港船舶数</t>
  </si>
  <si>
    <t>トン数階級別</t>
  </si>
  <si>
    <t>合計</t>
  </si>
  <si>
    <t>5～1,000トン</t>
  </si>
  <si>
    <t>1,000～3,000トン</t>
  </si>
  <si>
    <t>3,000～6,000トン</t>
  </si>
  <si>
    <t>6,000～10,000トン</t>
  </si>
  <si>
    <t>10,000トン～</t>
  </si>
  <si>
    <t>隻数</t>
  </si>
  <si>
    <t>総トン数</t>
  </si>
  <si>
    <t>内航</t>
  </si>
  <si>
    <t>外航</t>
  </si>
  <si>
    <t>出典：福井港港湾統計年報</t>
  </si>
  <si>
    <t>船種別</t>
  </si>
  <si>
    <t>商船</t>
  </si>
  <si>
    <t>漁船</t>
  </si>
  <si>
    <t>その他の船舶</t>
  </si>
  <si>
    <t>避難船</t>
  </si>
  <si>
    <t>うち外航</t>
  </si>
  <si>
    <t>O-10．航路標識</t>
  </si>
  <si>
    <r>
      <t>平成27</t>
    </r>
    <r>
      <rPr>
        <sz val="11"/>
        <rFont val="ＭＳ Ｐゴシック"/>
        <family val="3"/>
      </rPr>
      <t>年11月1日現在</t>
    </r>
  </si>
  <si>
    <t>標識名</t>
  </si>
  <si>
    <t>所　　在　　地
位　　　　　置</t>
  </si>
  <si>
    <t>塗色および
構造</t>
  </si>
  <si>
    <t>灯質</t>
  </si>
  <si>
    <t>光度又は
実効光度</t>
  </si>
  <si>
    <t>光達距離</t>
  </si>
  <si>
    <t>明弧</t>
  </si>
  <si>
    <t>灯高</t>
  </si>
  <si>
    <t>電源</t>
  </si>
  <si>
    <t>光源</t>
  </si>
  <si>
    <t>初点年月日</t>
  </si>
  <si>
    <t>地上から</t>
  </si>
  <si>
    <t>平均水面上</t>
  </si>
  <si>
    <t>現用</t>
  </si>
  <si>
    <t>予備</t>
  </si>
  <si>
    <t>非常用</t>
  </si>
  <si>
    <t>電球</t>
  </si>
  <si>
    <t>レンズ</t>
  </si>
  <si>
    <t>構造物頂部</t>
  </si>
  <si>
    <t>灯火中心</t>
  </si>
  <si>
    <t>ｶﾝﾃﾞﾗ</t>
  </si>
  <si>
    <t>海里</t>
  </si>
  <si>
    <t>ｍ</t>
  </si>
  <si>
    <t>mm</t>
  </si>
  <si>
    <t>福井南</t>
  </si>
  <si>
    <t>福井港福井区</t>
  </si>
  <si>
    <t>赤色塔形</t>
  </si>
  <si>
    <t>単閃赤光</t>
  </si>
  <si>
    <t>4.5</t>
  </si>
  <si>
    <t>全度</t>
  </si>
  <si>
    <t>10.41</t>
  </si>
  <si>
    <t>16.52</t>
  </si>
  <si>
    <t>蓄電池</t>
  </si>
  <si>
    <t>－</t>
  </si>
  <si>
    <t>LED</t>
  </si>
  <si>
    <t>昭54.10.30</t>
  </si>
  <si>
    <t>防波堤灯台</t>
  </si>
  <si>
    <t>36°12’19”</t>
  </si>
  <si>
    <t>136°06’46”</t>
  </si>
  <si>
    <t>(コンクリート造)</t>
  </si>
  <si>
    <t>毎3秒に1閃光</t>
  </si>
  <si>
    <t>(太陽電池)</t>
  </si>
  <si>
    <t>福井北</t>
  </si>
  <si>
    <t>白色塔形</t>
  </si>
  <si>
    <t>単明暗緑光</t>
  </si>
  <si>
    <t>5.5</t>
  </si>
  <si>
    <t>13.96</t>
  </si>
  <si>
    <t>16.30</t>
  </si>
  <si>
    <t>LED</t>
  </si>
  <si>
    <t>昭53.11.16</t>
  </si>
  <si>
    <t>36°12’02”</t>
  </si>
  <si>
    <t>136°07’07”</t>
  </si>
  <si>
    <t>明6秒 暗2秒</t>
  </si>
  <si>
    <t>福井港三国区</t>
  </si>
  <si>
    <t>連成不動単閃緑光</t>
  </si>
  <si>
    <t>閃光390</t>
  </si>
  <si>
    <t>7.5</t>
  </si>
  <si>
    <t>10.37</t>
  </si>
  <si>
    <t>12.43</t>
  </si>
  <si>
    <t>蓄電池</t>
  </si>
  <si>
    <t>－</t>
  </si>
  <si>
    <t>LED</t>
  </si>
  <si>
    <t>-</t>
  </si>
  <si>
    <t>昭46.3.29</t>
  </si>
  <si>
    <t>36°13’04”</t>
  </si>
  <si>
    <t>136°07’38”</t>
  </si>
  <si>
    <t>毎4秒に1閃光</t>
  </si>
  <si>
    <t>不動　39</t>
  </si>
  <si>
    <t>4.0</t>
  </si>
  <si>
    <t>(太陽電池)</t>
  </si>
  <si>
    <t>三国防波堤</t>
  </si>
  <si>
    <t>不動白光</t>
  </si>
  <si>
    <t>10.27</t>
  </si>
  <si>
    <t>購入</t>
  </si>
  <si>
    <t>100V　35W</t>
  </si>
  <si>
    <t>南西方照射灯</t>
  </si>
  <si>
    <t>36°13’11”</t>
  </si>
  <si>
    <t>136°07’53”</t>
  </si>
  <si>
    <t>電力</t>
  </si>
  <si>
    <t>雄島灯台</t>
  </si>
  <si>
    <t>坂井市三国町（雄島）</t>
  </si>
  <si>
    <t>群閃白光</t>
  </si>
  <si>
    <t>12.0</t>
  </si>
  <si>
    <t>10.18</t>
  </si>
  <si>
    <t>39.20</t>
  </si>
  <si>
    <t>蓄電池</t>
  </si>
  <si>
    <t>昭29.1.26</t>
  </si>
  <si>
    <t>36°15’04”</t>
  </si>
  <si>
    <t>136°07’06”</t>
  </si>
  <si>
    <t>毎9秒に2閃光</t>
  </si>
  <si>
    <t>（太陽電池）</t>
  </si>
  <si>
    <t>資料：敦賀海上保安部</t>
  </si>
  <si>
    <t>O-11．電話施設数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</si>
  <si>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</si>
  <si>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加入電話</t>
  </si>
  <si>
    <t>INSネット64</t>
  </si>
  <si>
    <t>INSﾈｯﾄ
1500</t>
  </si>
  <si>
    <t>公衆電話</t>
  </si>
  <si>
    <t>一般加入電話</t>
  </si>
  <si>
    <t>ビル電話</t>
  </si>
  <si>
    <t>事務用</t>
  </si>
  <si>
    <t>住宅用</t>
  </si>
  <si>
    <t>デジタル</t>
  </si>
  <si>
    <t>アナログ</t>
  </si>
  <si>
    <t>－</t>
  </si>
  <si>
    <t>※平成20年よりINSネット1500は集計していない。</t>
  </si>
  <si>
    <t>資料：NTT西日本</t>
  </si>
  <si>
    <t>O-12．ＣＡＴＶ加入状況</t>
  </si>
  <si>
    <t>年次</t>
  </si>
  <si>
    <t>世帯数</t>
  </si>
  <si>
    <t>加入世帯数</t>
  </si>
  <si>
    <t>加  入  率</t>
  </si>
  <si>
    <t>TV加入</t>
  </si>
  <si>
    <t>NET加入</t>
  </si>
  <si>
    <t xml:space="preserve"> (％)</t>
  </si>
  <si>
    <t>平成14年</t>
  </si>
  <si>
    <t>-</t>
  </si>
  <si>
    <t>-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</si>
  <si>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</si>
  <si>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</si>
  <si>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</si>
  <si>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</si>
  <si>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</si>
  <si>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</si>
  <si>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</si>
  <si>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</si>
  <si>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</si>
  <si>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</si>
  <si>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</si>
  <si>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</si>
  <si>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</si>
  <si>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資料：さかいケーブルテレビ㈱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</si>
</sst>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_ ;[Red]\-#,##0.0\ "/>
    <numFmt numFmtId="178" formatCode="#,##0;&quot;△ &quot;#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9"/>
      <name val="Arial"/>
      <family val="2"/>
    </font>
    <font>
      <sz val="6"/>
      <name val="ＭＳ Ｐ明朝"/>
      <family val="1"/>
    </font>
    <font>
      <sz val="9"/>
      <color indexed="3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9"/>
      <color theme="1"/>
      <name val="Calibri"/>
      <family val="3"/>
    </font>
    <font>
      <sz val="8"/>
      <color theme="1"/>
      <name val="Calibri"/>
      <family val="3"/>
    </font>
    <font>
      <b/>
      <sz val="9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>
        <color indexed="8"/>
      </bottom>
    </border>
    <border>
      <left style="hair"/>
      <right style="hair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23" fillId="31" borderId="0">
      <alignment/>
      <protection/>
    </xf>
    <xf numFmtId="0" fontId="23" fillId="0" borderId="0">
      <alignment/>
      <protection/>
    </xf>
    <xf numFmtId="0" fontId="54" fillId="32" borderId="0" applyNumberFormat="0" applyBorder="0" applyAlignment="0" applyProtection="0"/>
  </cellStyleXfs>
  <cellXfs count="6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77" fontId="3" fillId="0" borderId="22" xfId="48" applyNumberFormat="1" applyFont="1" applyBorder="1" applyAlignment="1">
      <alignment horizontal="right" vertical="center"/>
    </xf>
    <xf numFmtId="176" fontId="3" fillId="0" borderId="10" xfId="48" applyNumberFormat="1" applyFont="1" applyBorder="1" applyAlignment="1">
      <alignment vertical="center"/>
    </xf>
    <xf numFmtId="176" fontId="3" fillId="0" borderId="22" xfId="48" applyNumberFormat="1" applyFont="1" applyBorder="1" applyAlignment="1">
      <alignment vertical="center"/>
    </xf>
    <xf numFmtId="176" fontId="3" fillId="0" borderId="22" xfId="48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48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2" fillId="0" borderId="0" xfId="65" applyFont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178" fontId="3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 quotePrefix="1">
      <alignment vertical="center"/>
    </xf>
    <xf numFmtId="0" fontId="3" fillId="0" borderId="0" xfId="65" applyFont="1" applyAlignment="1">
      <alignment horizontal="right"/>
      <protection/>
    </xf>
    <xf numFmtId="0" fontId="24" fillId="0" borderId="12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distributed" vertical="center" shrinkToFit="1"/>
    </xf>
    <xf numFmtId="0" fontId="3" fillId="0" borderId="19" xfId="65" applyFont="1" applyBorder="1" applyAlignment="1">
      <alignment horizontal="distributed" vertical="center"/>
      <protection/>
    </xf>
    <xf numFmtId="178" fontId="3" fillId="0" borderId="19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4" fillId="0" borderId="11" xfId="0" applyFont="1" applyFill="1" applyBorder="1" applyAlignment="1">
      <alignment horizontal="distributed" vertical="center" wrapText="1"/>
    </xf>
    <xf numFmtId="0" fontId="24" fillId="0" borderId="11" xfId="0" applyFont="1" applyFill="1" applyBorder="1" applyAlignment="1">
      <alignment horizontal="center" vertical="center" shrinkToFit="1"/>
    </xf>
    <xf numFmtId="178" fontId="3" fillId="0" borderId="13" xfId="65" applyNumberFormat="1" applyFont="1" applyBorder="1" applyAlignment="1">
      <alignment horizontal="distributed" vertical="center"/>
      <protection/>
    </xf>
    <xf numFmtId="178" fontId="3" fillId="0" borderId="29" xfId="65" applyNumberFormat="1" applyFont="1" applyBorder="1" applyAlignment="1">
      <alignment horizontal="distributed" vertical="center"/>
      <protection/>
    </xf>
    <xf numFmtId="0" fontId="3" fillId="0" borderId="13" xfId="65" applyFont="1" applyBorder="1" applyAlignment="1">
      <alignment horizontal="distributed" vertical="center"/>
      <protection/>
    </xf>
    <xf numFmtId="0" fontId="3" fillId="0" borderId="30" xfId="65" applyFont="1" applyBorder="1" applyAlignment="1">
      <alignment horizontal="distributed" vertical="center" wrapText="1"/>
      <protection/>
    </xf>
    <xf numFmtId="0" fontId="3" fillId="0" borderId="21" xfId="65" applyFont="1" applyBorder="1" applyAlignment="1">
      <alignment horizontal="distributed" vertical="center" wrapText="1"/>
      <protection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shrinkToFit="1"/>
    </xf>
    <xf numFmtId="0" fontId="3" fillId="0" borderId="32" xfId="65" applyFont="1" applyBorder="1" applyAlignment="1">
      <alignment vertical="center" shrinkToFit="1"/>
      <protection/>
    </xf>
    <xf numFmtId="0" fontId="3" fillId="0" borderId="33" xfId="65" applyFont="1" applyBorder="1" applyAlignment="1">
      <alignment vertical="center" shrinkToFit="1"/>
      <protection/>
    </xf>
    <xf numFmtId="38" fontId="3" fillId="0" borderId="34" xfId="48" applyFont="1" applyFill="1" applyBorder="1" applyAlignment="1">
      <alignment horizontal="right" vertical="center" wrapText="1"/>
    </xf>
    <xf numFmtId="38" fontId="3" fillId="0" borderId="35" xfId="48" applyFont="1" applyFill="1" applyBorder="1" applyAlignment="1">
      <alignment vertical="center" wrapText="1"/>
    </xf>
    <xf numFmtId="38" fontId="3" fillId="0" borderId="34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38" fontId="3" fillId="0" borderId="40" xfId="48" applyFont="1" applyFill="1" applyBorder="1" applyAlignment="1">
      <alignment vertical="center" wrapText="1"/>
    </xf>
    <xf numFmtId="38" fontId="3" fillId="0" borderId="41" xfId="48" applyFont="1" applyFill="1" applyBorder="1" applyAlignment="1">
      <alignment vertical="center" wrapText="1"/>
    </xf>
    <xf numFmtId="38" fontId="3" fillId="0" borderId="40" xfId="48" applyFont="1" applyBorder="1" applyAlignment="1">
      <alignment horizontal="right" vertical="center"/>
    </xf>
    <xf numFmtId="38" fontId="3" fillId="0" borderId="42" xfId="48" applyFont="1" applyBorder="1" applyAlignment="1">
      <alignment horizontal="right" vertical="center"/>
    </xf>
    <xf numFmtId="38" fontId="3" fillId="0" borderId="41" xfId="48" applyFont="1" applyBorder="1" applyAlignment="1">
      <alignment horizontal="right" vertical="center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38" fontId="3" fillId="0" borderId="46" xfId="48" applyFont="1" applyFill="1" applyBorder="1" applyAlignment="1">
      <alignment vertical="center" wrapText="1"/>
    </xf>
    <xf numFmtId="38" fontId="3" fillId="0" borderId="47" xfId="48" applyFont="1" applyFill="1" applyBorder="1" applyAlignment="1">
      <alignment vertical="center" wrapText="1"/>
    </xf>
    <xf numFmtId="38" fontId="3" fillId="0" borderId="46" xfId="48" applyFont="1" applyBorder="1" applyAlignment="1">
      <alignment horizontal="right" vertical="center"/>
    </xf>
    <xf numFmtId="38" fontId="3" fillId="0" borderId="48" xfId="48" applyFont="1" applyBorder="1" applyAlignment="1">
      <alignment horizontal="right" vertical="center"/>
    </xf>
    <xf numFmtId="38" fontId="3" fillId="0" borderId="47" xfId="48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3" fillId="0" borderId="49" xfId="0" applyFont="1" applyFill="1" applyBorder="1" applyAlignment="1">
      <alignment horizontal="center" vertical="center" wrapText="1" shrinkToFi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vertical="center" shrinkToFit="1"/>
    </xf>
    <xf numFmtId="0" fontId="3" fillId="0" borderId="50" xfId="65" applyFont="1" applyBorder="1" applyAlignment="1">
      <alignment vertical="center" shrinkToFit="1"/>
      <protection/>
    </xf>
    <xf numFmtId="0" fontId="3" fillId="0" borderId="51" xfId="65" applyFont="1" applyBorder="1" applyAlignment="1">
      <alignment vertical="center" shrinkToFit="1"/>
      <protection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52" xfId="48" applyFont="1" applyBorder="1" applyAlignment="1">
      <alignment horizontal="right" vertical="center"/>
    </xf>
    <xf numFmtId="38" fontId="3" fillId="0" borderId="35" xfId="48" applyFont="1" applyBorder="1" applyAlignment="1">
      <alignment horizontal="right" vertical="center"/>
    </xf>
    <xf numFmtId="0" fontId="24" fillId="0" borderId="31" xfId="0" applyFont="1" applyFill="1" applyBorder="1" applyAlignment="1">
      <alignment horizontal="center" vertical="center" shrinkToFit="1"/>
    </xf>
    <xf numFmtId="0" fontId="3" fillId="0" borderId="38" xfId="65" applyFont="1" applyBorder="1" applyAlignment="1">
      <alignment vertical="center" shrinkToFit="1"/>
      <protection/>
    </xf>
    <xf numFmtId="0" fontId="3" fillId="0" borderId="39" xfId="65" applyFont="1" applyBorder="1" applyAlignment="1">
      <alignment vertical="center" shrinkToFit="1"/>
      <protection/>
    </xf>
    <xf numFmtId="38" fontId="3" fillId="0" borderId="40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0" fontId="24" fillId="0" borderId="43" xfId="0" applyFont="1" applyFill="1" applyBorder="1" applyAlignment="1">
      <alignment horizontal="center" vertical="center" shrinkToFit="1"/>
    </xf>
    <xf numFmtId="38" fontId="3" fillId="0" borderId="46" xfId="48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0" fontId="24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 shrinkToFit="1"/>
    </xf>
    <xf numFmtId="38" fontId="3" fillId="0" borderId="34" xfId="48" applyFont="1" applyFill="1" applyBorder="1" applyAlignment="1">
      <alignment vertical="center" wrapText="1"/>
    </xf>
    <xf numFmtId="38" fontId="3" fillId="0" borderId="52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0" fontId="24" fillId="0" borderId="53" xfId="0" applyFont="1" applyFill="1" applyBorder="1" applyAlignment="1">
      <alignment horizontal="center" vertical="center" shrinkToFit="1"/>
    </xf>
    <xf numFmtId="38" fontId="3" fillId="0" borderId="54" xfId="48" applyFont="1" applyFill="1" applyBorder="1" applyAlignment="1">
      <alignment vertical="center" wrapText="1"/>
    </xf>
    <xf numFmtId="38" fontId="3" fillId="0" borderId="55" xfId="48" applyFont="1" applyFill="1" applyBorder="1" applyAlignment="1">
      <alignment vertical="center" wrapText="1"/>
    </xf>
    <xf numFmtId="38" fontId="3" fillId="0" borderId="46" xfId="48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38" fontId="55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6" xfId="0" applyFont="1" applyBorder="1" applyAlignment="1">
      <alignment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38" fontId="3" fillId="0" borderId="57" xfId="48" applyFont="1" applyBorder="1" applyAlignment="1">
      <alignment vertical="center"/>
    </xf>
    <xf numFmtId="38" fontId="3" fillId="0" borderId="57" xfId="48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38" fontId="3" fillId="0" borderId="58" xfId="48" applyFont="1" applyBorder="1" applyAlignment="1">
      <alignment vertical="center"/>
    </xf>
    <xf numFmtId="38" fontId="3" fillId="0" borderId="58" xfId="48" applyFont="1" applyBorder="1" applyAlignment="1">
      <alignment vertical="center"/>
    </xf>
    <xf numFmtId="38" fontId="3" fillId="0" borderId="57" xfId="48" applyFont="1" applyBorder="1" applyAlignment="1">
      <alignment vertical="center" shrinkToFit="1"/>
    </xf>
    <xf numFmtId="38" fontId="3" fillId="0" borderId="58" xfId="48" applyFont="1" applyBorder="1" applyAlignment="1">
      <alignment vertical="center" shrinkToFit="1"/>
    </xf>
    <xf numFmtId="38" fontId="3" fillId="0" borderId="57" xfId="48" applyFont="1" applyFill="1" applyBorder="1" applyAlignment="1">
      <alignment vertical="center" shrinkToFit="1"/>
    </xf>
    <xf numFmtId="38" fontId="3" fillId="0" borderId="58" xfId="48" applyFont="1" applyFill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38" fontId="3" fillId="0" borderId="19" xfId="48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63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64" xfId="0" applyFont="1" applyBorder="1" applyAlignment="1">
      <alignment horizontal="right" vertical="center" shrinkToFit="1"/>
    </xf>
    <xf numFmtId="38" fontId="3" fillId="0" borderId="11" xfId="48" applyFont="1" applyBorder="1" applyAlignment="1">
      <alignment horizontal="right" vertical="center" shrinkToFit="1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0" borderId="64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shrinkToFit="1"/>
    </xf>
    <xf numFmtId="38" fontId="3" fillId="0" borderId="2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59" xfId="48" applyFont="1" applyBorder="1" applyAlignment="1">
      <alignment horizontal="right" vertical="center"/>
    </xf>
    <xf numFmtId="38" fontId="3" fillId="0" borderId="65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63" xfId="48" applyFont="1" applyBorder="1" applyAlignment="1">
      <alignment horizontal="right" vertical="center"/>
    </xf>
    <xf numFmtId="38" fontId="3" fillId="0" borderId="66" xfId="48" applyFont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63" xfId="48" applyFont="1" applyFill="1" applyBorder="1" applyAlignment="1">
      <alignment horizontal="right" vertical="center"/>
    </xf>
    <xf numFmtId="38" fontId="3" fillId="0" borderId="64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67" xfId="48" applyFont="1" applyFill="1" applyBorder="1" applyAlignment="1">
      <alignment horizontal="right" vertical="center"/>
    </xf>
    <xf numFmtId="0" fontId="3" fillId="0" borderId="0" xfId="65" applyFont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12" xfId="65" applyFont="1" applyBorder="1" applyAlignment="1">
      <alignment horizontal="distributed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0" borderId="68" xfId="65" applyFont="1" applyBorder="1" applyAlignment="1">
      <alignment horizontal="distributed" vertical="center"/>
      <protection/>
    </xf>
    <xf numFmtId="0" fontId="3" fillId="0" borderId="61" xfId="65" applyFont="1" applyBorder="1" applyAlignment="1">
      <alignment horizontal="distributed" vertical="center"/>
      <protection/>
    </xf>
    <xf numFmtId="0" fontId="3" fillId="0" borderId="11" xfId="65" applyFont="1" applyBorder="1" applyAlignment="1">
      <alignment horizontal="distributed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69" xfId="65" applyFont="1" applyBorder="1" applyAlignment="1">
      <alignment horizontal="distributed" vertical="center"/>
      <protection/>
    </xf>
    <xf numFmtId="0" fontId="3" fillId="0" borderId="70" xfId="65" applyFont="1" applyBorder="1" applyAlignment="1">
      <alignment horizontal="distributed" vertical="center"/>
      <protection/>
    </xf>
    <xf numFmtId="0" fontId="3" fillId="0" borderId="70" xfId="65" applyFont="1" applyFill="1" applyBorder="1" applyAlignment="1">
      <alignment horizontal="distributed" vertical="center"/>
      <protection/>
    </xf>
    <xf numFmtId="0" fontId="3" fillId="0" borderId="71" xfId="65" applyFont="1" applyFill="1" applyBorder="1" applyAlignment="1">
      <alignment horizontal="distributed" vertical="center"/>
      <protection/>
    </xf>
    <xf numFmtId="0" fontId="3" fillId="0" borderId="19" xfId="65" applyFont="1" applyBorder="1" applyAlignment="1">
      <alignment horizontal="center" vertical="center"/>
      <protection/>
    </xf>
    <xf numFmtId="178" fontId="4" fillId="0" borderId="19" xfId="65" applyNumberFormat="1" applyFont="1" applyBorder="1" applyAlignment="1">
      <alignment vertical="center"/>
      <protection/>
    </xf>
    <xf numFmtId="178" fontId="3" fillId="0" borderId="20" xfId="48" applyNumberFormat="1" applyFont="1" applyBorder="1" applyAlignment="1">
      <alignment vertical="center"/>
    </xf>
    <xf numFmtId="178" fontId="3" fillId="0" borderId="30" xfId="48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1" xfId="48" applyNumberFormat="1" applyFont="1" applyBorder="1" applyAlignment="1">
      <alignment vertical="center"/>
    </xf>
    <xf numFmtId="0" fontId="2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38" fontId="56" fillId="0" borderId="0" xfId="51" applyFont="1" applyBorder="1" applyAlignment="1">
      <alignment horizontal="center" vertical="center"/>
    </xf>
    <xf numFmtId="38" fontId="56" fillId="0" borderId="0" xfId="51" applyFont="1" applyBorder="1" applyAlignment="1">
      <alignment horizontal="center" vertical="center" textRotation="255" wrapText="1"/>
    </xf>
    <xf numFmtId="38" fontId="56" fillId="0" borderId="0" xfId="51" applyFont="1" applyBorder="1" applyAlignment="1">
      <alignment horizontal="right" vertical="center"/>
    </xf>
    <xf numFmtId="38" fontId="56" fillId="0" borderId="12" xfId="51" applyFont="1" applyBorder="1" applyAlignment="1">
      <alignment horizontal="center" vertical="center"/>
    </xf>
    <xf numFmtId="38" fontId="56" fillId="0" borderId="23" xfId="51" applyFont="1" applyBorder="1" applyAlignment="1">
      <alignment horizontal="center" vertical="center"/>
    </xf>
    <xf numFmtId="38" fontId="56" fillId="0" borderId="68" xfId="51" applyFont="1" applyBorder="1" applyAlignment="1">
      <alignment horizontal="center" vertical="center"/>
    </xf>
    <xf numFmtId="38" fontId="56" fillId="0" borderId="61" xfId="51" applyFont="1" applyBorder="1" applyAlignment="1">
      <alignment horizontal="center" vertical="center"/>
    </xf>
    <xf numFmtId="38" fontId="56" fillId="0" borderId="10" xfId="51" applyFont="1" applyBorder="1" applyAlignment="1">
      <alignment horizontal="center" vertical="center"/>
    </xf>
    <xf numFmtId="38" fontId="56" fillId="0" borderId="10" xfId="51" applyFont="1" applyBorder="1" applyAlignment="1">
      <alignment horizontal="center" vertical="center" textRotation="255" wrapText="1"/>
    </xf>
    <xf numFmtId="38" fontId="57" fillId="0" borderId="23" xfId="51" applyFont="1" applyBorder="1" applyAlignment="1">
      <alignment horizontal="center" vertical="center"/>
    </xf>
    <xf numFmtId="38" fontId="57" fillId="0" borderId="68" xfId="51" applyFont="1" applyBorder="1" applyAlignment="1">
      <alignment horizontal="center" vertical="center"/>
    </xf>
    <xf numFmtId="38" fontId="57" fillId="0" borderId="61" xfId="51" applyFont="1" applyBorder="1" applyAlignment="1">
      <alignment horizontal="center" vertical="center"/>
    </xf>
    <xf numFmtId="38" fontId="56" fillId="0" borderId="11" xfId="51" applyFont="1" applyBorder="1" applyAlignment="1">
      <alignment horizontal="center" vertical="center"/>
    </xf>
    <xf numFmtId="38" fontId="56" fillId="0" borderId="25" xfId="51" applyFont="1" applyBorder="1" applyAlignment="1">
      <alignment horizontal="center" vertical="center" textRotation="255"/>
    </xf>
    <xf numFmtId="38" fontId="56" fillId="0" borderId="11" xfId="51" applyFont="1" applyBorder="1" applyAlignment="1">
      <alignment horizontal="center" vertical="center" textRotation="255" wrapText="1"/>
    </xf>
    <xf numFmtId="38" fontId="56" fillId="0" borderId="19" xfId="51" applyFont="1" applyBorder="1" applyAlignment="1">
      <alignment horizontal="distributed" vertical="center" textRotation="255" wrapText="1"/>
    </xf>
    <xf numFmtId="38" fontId="57" fillId="0" borderId="11" xfId="51" applyFont="1" applyBorder="1" applyAlignment="1">
      <alignment horizontal="center" vertical="center" textRotation="255" wrapText="1"/>
    </xf>
    <xf numFmtId="38" fontId="57" fillId="0" borderId="19" xfId="51" applyFont="1" applyBorder="1" applyAlignment="1">
      <alignment horizontal="center" vertical="top" textRotation="255" wrapText="1"/>
    </xf>
    <xf numFmtId="38" fontId="56" fillId="0" borderId="19" xfId="51" applyFont="1" applyBorder="1" applyAlignment="1">
      <alignment horizontal="left" vertical="center"/>
    </xf>
    <xf numFmtId="38" fontId="58" fillId="0" borderId="19" xfId="51" applyFont="1" applyBorder="1" applyAlignment="1">
      <alignment horizontal="right" vertical="center" shrinkToFit="1"/>
    </xf>
    <xf numFmtId="38" fontId="59" fillId="0" borderId="19" xfId="51" applyFont="1" applyBorder="1" applyAlignment="1">
      <alignment horizontal="right" vertical="center" shrinkToFit="1"/>
    </xf>
    <xf numFmtId="38" fontId="60" fillId="0" borderId="19" xfId="51" applyFont="1" applyBorder="1" applyAlignment="1">
      <alignment horizontal="right" vertical="center" shrinkToFit="1"/>
    </xf>
    <xf numFmtId="38" fontId="61" fillId="0" borderId="19" xfId="51" applyFont="1" applyBorder="1" applyAlignment="1">
      <alignment horizontal="right" vertical="center" shrinkToFit="1"/>
    </xf>
    <xf numFmtId="38" fontId="57" fillId="0" borderId="19" xfId="51" applyFont="1" applyBorder="1" applyAlignment="1">
      <alignment horizontal="left" vertical="center"/>
    </xf>
    <xf numFmtId="38" fontId="57" fillId="0" borderId="0" xfId="51" applyFont="1" applyBorder="1" applyAlignment="1">
      <alignment horizontal="center" vertical="center"/>
    </xf>
    <xf numFmtId="38" fontId="56" fillId="0" borderId="0" xfId="51" applyFont="1" applyBorder="1" applyAlignment="1">
      <alignment horizontal="left" vertical="top"/>
    </xf>
    <xf numFmtId="38" fontId="57" fillId="0" borderId="0" xfId="51" applyFont="1" applyAlignment="1">
      <alignment horizontal="right" vertical="top"/>
    </xf>
    <xf numFmtId="0" fontId="2" fillId="0" borderId="0" xfId="0" applyFont="1" applyAlignment="1">
      <alignment vertical="center"/>
    </xf>
    <xf numFmtId="0" fontId="0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0" fontId="3" fillId="0" borderId="75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 wrapText="1"/>
    </xf>
    <xf numFmtId="0" fontId="3" fillId="0" borderId="77" xfId="0" applyFont="1" applyBorder="1" applyAlignment="1">
      <alignment horizontal="distributed" vertical="center" wrapTex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 wrapText="1"/>
    </xf>
    <xf numFmtId="0" fontId="3" fillId="0" borderId="76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distributed" vertical="center" wrapText="1" shrinkToFit="1"/>
    </xf>
    <xf numFmtId="0" fontId="3" fillId="0" borderId="21" xfId="0" applyFont="1" applyBorder="1" applyAlignment="1">
      <alignment horizontal="distributed" vertical="center" wrapText="1"/>
    </xf>
    <xf numFmtId="178" fontId="4" fillId="0" borderId="68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60" xfId="0" applyNumberFormat="1" applyFont="1" applyBorder="1" applyAlignment="1">
      <alignment vertical="center"/>
    </xf>
    <xf numFmtId="178" fontId="4" fillId="0" borderId="80" xfId="0" applyNumberFormat="1" applyFont="1" applyBorder="1" applyAlignment="1">
      <alignment vertical="center"/>
    </xf>
    <xf numFmtId="178" fontId="4" fillId="0" borderId="80" xfId="0" applyNumberFormat="1" applyFont="1" applyBorder="1" applyAlignment="1">
      <alignment vertical="center" wrapText="1" shrinkToFit="1"/>
    </xf>
    <xf numFmtId="178" fontId="4" fillId="0" borderId="14" xfId="0" applyNumberFormat="1" applyFont="1" applyBorder="1" applyAlignment="1">
      <alignment vertical="center" wrapText="1"/>
    </xf>
    <xf numFmtId="178" fontId="4" fillId="0" borderId="12" xfId="0" applyNumberFormat="1" applyFont="1" applyBorder="1" applyAlignment="1">
      <alignment vertical="center"/>
    </xf>
    <xf numFmtId="178" fontId="4" fillId="0" borderId="6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81" xfId="0" applyNumberFormat="1" applyFont="1" applyBorder="1" applyAlignment="1">
      <alignment vertical="center"/>
    </xf>
    <xf numFmtId="178" fontId="3" fillId="0" borderId="78" xfId="0" applyNumberFormat="1" applyFont="1" applyBorder="1" applyAlignment="1">
      <alignment vertical="center"/>
    </xf>
    <xf numFmtId="178" fontId="3" fillId="0" borderId="78" xfId="0" applyNumberFormat="1" applyFont="1" applyBorder="1" applyAlignment="1">
      <alignment vertical="center" wrapText="1" shrinkToFit="1"/>
    </xf>
    <xf numFmtId="178" fontId="3" fillId="0" borderId="16" xfId="0" applyNumberFormat="1" applyFont="1" applyBorder="1" applyAlignment="1">
      <alignment vertical="center" wrapText="1"/>
    </xf>
    <xf numFmtId="178" fontId="3" fillId="0" borderId="10" xfId="0" applyNumberFormat="1" applyFont="1" applyBorder="1" applyAlignment="1">
      <alignment vertical="center"/>
    </xf>
    <xf numFmtId="178" fontId="3" fillId="0" borderId="8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8" fontId="3" fillId="0" borderId="63" xfId="0" applyNumberFormat="1" applyFont="1" applyBorder="1" applyAlignment="1">
      <alignment vertical="center"/>
    </xf>
    <xf numFmtId="178" fontId="3" fillId="0" borderId="76" xfId="0" applyNumberFormat="1" applyFont="1" applyBorder="1" applyAlignment="1">
      <alignment vertical="center"/>
    </xf>
    <xf numFmtId="178" fontId="3" fillId="0" borderId="76" xfId="0" applyNumberFormat="1" applyFont="1" applyBorder="1" applyAlignment="1">
      <alignment vertical="center" wrapText="1" shrinkToFit="1"/>
    </xf>
    <xf numFmtId="178" fontId="3" fillId="0" borderId="18" xfId="0" applyNumberFormat="1" applyFont="1" applyBorder="1" applyAlignment="1">
      <alignment vertical="center" wrapText="1"/>
    </xf>
    <xf numFmtId="178" fontId="3" fillId="0" borderId="11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64" xfId="0" applyNumberFormat="1" applyFont="1" applyBorder="1" applyAlignment="1">
      <alignment vertical="center"/>
    </xf>
    <xf numFmtId="178" fontId="3" fillId="0" borderId="56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81" xfId="48" applyFont="1" applyBorder="1" applyAlignment="1">
      <alignment horizontal="right" vertical="center"/>
    </xf>
    <xf numFmtId="38" fontId="4" fillId="0" borderId="78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82" xfId="48" applyFont="1" applyBorder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81" xfId="48" applyFont="1" applyBorder="1" applyAlignment="1">
      <alignment horizontal="right" vertical="center"/>
    </xf>
    <xf numFmtId="38" fontId="3" fillId="0" borderId="78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82" xfId="48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38" fontId="3" fillId="0" borderId="56" xfId="48" applyFont="1" applyBorder="1" applyAlignment="1">
      <alignment horizontal="right" vertical="center"/>
    </xf>
    <xf numFmtId="38" fontId="3" fillId="0" borderId="76" xfId="48" applyFont="1" applyBorder="1" applyAlignment="1">
      <alignment horizontal="right" vertical="center"/>
    </xf>
    <xf numFmtId="38" fontId="4" fillId="0" borderId="83" xfId="48" applyFont="1" applyFill="1" applyBorder="1" applyAlignment="1">
      <alignment horizontal="right" vertical="center"/>
    </xf>
    <xf numFmtId="38" fontId="4" fillId="0" borderId="20" xfId="48" applyFont="1" applyFill="1" applyBorder="1" applyAlignment="1">
      <alignment horizontal="right" vertical="center"/>
    </xf>
    <xf numFmtId="38" fontId="4" fillId="0" borderId="66" xfId="48" applyFont="1" applyFill="1" applyBorder="1" applyAlignment="1">
      <alignment horizontal="right" vertical="center"/>
    </xf>
    <xf numFmtId="38" fontId="4" fillId="0" borderId="30" xfId="48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right" vertical="center"/>
    </xf>
    <xf numFmtId="38" fontId="4" fillId="0" borderId="65" xfId="48" applyFont="1" applyFill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0" xfId="48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3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78" fontId="4" fillId="0" borderId="19" xfId="0" applyNumberFormat="1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178" fontId="4" fillId="0" borderId="84" xfId="0" applyNumberFormat="1" applyFont="1" applyBorder="1" applyAlignment="1">
      <alignment vertical="center"/>
    </xf>
    <xf numFmtId="178" fontId="4" fillId="0" borderId="85" xfId="0" applyNumberFormat="1" applyFont="1" applyBorder="1" applyAlignment="1">
      <alignment vertical="center"/>
    </xf>
    <xf numFmtId="178" fontId="4" fillId="0" borderId="86" xfId="0" applyNumberFormat="1" applyFont="1" applyBorder="1" applyAlignment="1">
      <alignment vertical="center"/>
    </xf>
    <xf numFmtId="178" fontId="4" fillId="0" borderId="8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78" fontId="4" fillId="0" borderId="69" xfId="0" applyNumberFormat="1" applyFont="1" applyBorder="1" applyAlignment="1">
      <alignment vertical="center"/>
    </xf>
    <xf numFmtId="178" fontId="4" fillId="0" borderId="88" xfId="0" applyNumberFormat="1" applyFont="1" applyBorder="1" applyAlignment="1">
      <alignment vertical="center"/>
    </xf>
    <xf numFmtId="178" fontId="4" fillId="0" borderId="70" xfId="0" applyNumberFormat="1" applyFont="1" applyBorder="1" applyAlignment="1">
      <alignment vertical="center"/>
    </xf>
    <xf numFmtId="178" fontId="4" fillId="0" borderId="89" xfId="0" applyNumberFormat="1" applyFont="1" applyBorder="1" applyAlignment="1">
      <alignment vertical="center"/>
    </xf>
    <xf numFmtId="178" fontId="4" fillId="0" borderId="71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8" fontId="3" fillId="0" borderId="84" xfId="0" applyNumberFormat="1" applyFont="1" applyBorder="1" applyAlignment="1">
      <alignment vertical="center"/>
    </xf>
    <xf numFmtId="178" fontId="3" fillId="0" borderId="90" xfId="0" applyNumberFormat="1" applyFont="1" applyBorder="1" applyAlignment="1">
      <alignment vertical="center"/>
    </xf>
    <xf numFmtId="178" fontId="3" fillId="0" borderId="85" xfId="0" applyNumberFormat="1" applyFont="1" applyBorder="1" applyAlignment="1">
      <alignment vertical="center"/>
    </xf>
    <xf numFmtId="178" fontId="3" fillId="0" borderId="86" xfId="0" applyNumberFormat="1" applyFont="1" applyBorder="1" applyAlignment="1">
      <alignment vertical="center"/>
    </xf>
    <xf numFmtId="178" fontId="3" fillId="0" borderId="87" xfId="0" applyNumberFormat="1" applyFont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178" fontId="3" fillId="0" borderId="69" xfId="0" applyNumberFormat="1" applyFont="1" applyBorder="1" applyAlignment="1">
      <alignment vertical="center"/>
    </xf>
    <xf numFmtId="178" fontId="3" fillId="0" borderId="88" xfId="0" applyNumberFormat="1" applyFont="1" applyBorder="1" applyAlignment="1">
      <alignment vertical="center"/>
    </xf>
    <xf numFmtId="178" fontId="3" fillId="0" borderId="70" xfId="0" applyNumberFormat="1" applyFont="1" applyBorder="1" applyAlignment="1">
      <alignment vertical="center"/>
    </xf>
    <xf numFmtId="178" fontId="3" fillId="0" borderId="89" xfId="0" applyNumberFormat="1" applyFont="1" applyBorder="1" applyAlignment="1">
      <alignment vertical="center"/>
    </xf>
    <xf numFmtId="178" fontId="3" fillId="0" borderId="71" xfId="0" applyNumberFormat="1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8" fontId="4" fillId="0" borderId="12" xfId="0" applyNumberFormat="1" applyFont="1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7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87" xfId="0" applyNumberFormat="1" applyFont="1" applyFill="1" applyBorder="1" applyAlignment="1">
      <alignment vertical="center"/>
    </xf>
    <xf numFmtId="178" fontId="4" fillId="0" borderId="84" xfId="0" applyNumberFormat="1" applyFont="1" applyFill="1" applyBorder="1" applyAlignment="1">
      <alignment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right" vertical="center"/>
    </xf>
    <xf numFmtId="178" fontId="3" fillId="0" borderId="93" xfId="0" applyNumberFormat="1" applyFont="1" applyFill="1" applyBorder="1" applyAlignment="1">
      <alignment vertical="center"/>
    </xf>
    <xf numFmtId="178" fontId="3" fillId="0" borderId="92" xfId="0" applyNumberFormat="1" applyFont="1" applyFill="1" applyBorder="1" applyAlignment="1">
      <alignment vertical="center"/>
    </xf>
    <xf numFmtId="38" fontId="3" fillId="0" borderId="94" xfId="48" applyFont="1" applyFill="1" applyBorder="1" applyAlignment="1">
      <alignment vertical="center"/>
    </xf>
    <xf numFmtId="38" fontId="3" fillId="0" borderId="95" xfId="48" applyFont="1" applyFill="1" applyBorder="1" applyAlignment="1">
      <alignment vertical="center"/>
    </xf>
    <xf numFmtId="178" fontId="3" fillId="0" borderId="96" xfId="0" applyNumberFormat="1" applyFont="1" applyFill="1" applyBorder="1" applyAlignment="1">
      <alignment vertical="center"/>
    </xf>
    <xf numFmtId="178" fontId="3" fillId="0" borderId="9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178" fontId="3" fillId="0" borderId="69" xfId="0" applyNumberFormat="1" applyFont="1" applyFill="1" applyBorder="1" applyAlignment="1">
      <alignment vertical="center"/>
    </xf>
    <xf numFmtId="178" fontId="3" fillId="0" borderId="71" xfId="0" applyNumberFormat="1" applyFont="1" applyFill="1" applyBorder="1" applyAlignment="1">
      <alignment vertical="center"/>
    </xf>
    <xf numFmtId="38" fontId="3" fillId="0" borderId="91" xfId="48" applyFont="1" applyFill="1" applyBorder="1" applyAlignment="1">
      <alignment vertical="center"/>
    </xf>
    <xf numFmtId="38" fontId="3" fillId="0" borderId="71" xfId="48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38" fontId="4" fillId="0" borderId="26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3" fillId="0" borderId="94" xfId="0" applyNumberFormat="1" applyFont="1" applyFill="1" applyBorder="1" applyAlignment="1">
      <alignment vertical="center"/>
    </xf>
    <xf numFmtId="178" fontId="3" fillId="0" borderId="9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3" fillId="0" borderId="97" xfId="0" applyNumberFormat="1" applyFont="1" applyFill="1" applyBorder="1" applyAlignment="1">
      <alignment vertical="center"/>
    </xf>
    <xf numFmtId="38" fontId="3" fillId="0" borderId="97" xfId="48" applyFont="1" applyFill="1" applyBorder="1" applyAlignment="1">
      <alignment vertical="center"/>
    </xf>
    <xf numFmtId="38" fontId="3" fillId="0" borderId="92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6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79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62" applyFont="1" applyAlignment="1">
      <alignment vertical="center"/>
      <protection/>
    </xf>
    <xf numFmtId="0" fontId="3" fillId="0" borderId="0" xfId="62" applyFo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shrinkToFit="1"/>
      <protection/>
    </xf>
    <xf numFmtId="0" fontId="3" fillId="0" borderId="0" xfId="62" applyFont="1" applyAlignment="1">
      <alignment vertical="center"/>
      <protection/>
    </xf>
    <xf numFmtId="0" fontId="0" fillId="0" borderId="56" xfId="62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0" fontId="3" fillId="0" borderId="56" xfId="62" applyFont="1" applyBorder="1" applyAlignment="1">
      <alignment vertical="center" shrinkToFit="1"/>
      <protection/>
    </xf>
    <xf numFmtId="0" fontId="31" fillId="0" borderId="12" xfId="62" applyFont="1" applyBorder="1" applyAlignment="1">
      <alignment horizontal="distributed" vertical="center" shrinkToFit="1"/>
      <protection/>
    </xf>
    <xf numFmtId="0" fontId="31" fillId="0" borderId="23" xfId="62" applyFont="1" applyBorder="1" applyAlignment="1">
      <alignment horizontal="center" vertical="center" wrapText="1"/>
      <protection/>
    </xf>
    <xf numFmtId="0" fontId="31" fillId="0" borderId="61" xfId="62" applyFont="1" applyBorder="1" applyAlignment="1">
      <alignment horizontal="center" vertical="center" wrapText="1"/>
      <protection/>
    </xf>
    <xf numFmtId="0" fontId="32" fillId="0" borderId="12" xfId="62" applyFont="1" applyBorder="1" applyAlignment="1">
      <alignment horizontal="center" vertical="center" wrapText="1" shrinkToFit="1"/>
      <protection/>
    </xf>
    <xf numFmtId="38" fontId="1" fillId="0" borderId="12" xfId="50" applyFont="1" applyBorder="1" applyAlignment="1">
      <alignment horizontal="center" vertical="center" wrapText="1"/>
    </xf>
    <xf numFmtId="49" fontId="31" fillId="0" borderId="12" xfId="62" applyNumberFormat="1" applyFont="1" applyBorder="1" applyAlignment="1">
      <alignment horizontal="center" vertical="center" shrinkToFit="1"/>
      <protection/>
    </xf>
    <xf numFmtId="0" fontId="31" fillId="0" borderId="19" xfId="62" applyFont="1" applyBorder="1" applyAlignment="1">
      <alignment horizontal="center" vertical="center" shrinkToFit="1"/>
      <protection/>
    </xf>
    <xf numFmtId="0" fontId="31" fillId="0" borderId="19" xfId="62" applyFont="1" applyBorder="1" applyAlignment="1">
      <alignment horizontal="distributed" vertical="center"/>
      <protection/>
    </xf>
    <xf numFmtId="0" fontId="3" fillId="0" borderId="19" xfId="62" applyFont="1" applyBorder="1" applyAlignment="1">
      <alignment horizontal="center" vertical="center" shrinkToFit="1"/>
      <protection/>
    </xf>
    <xf numFmtId="0" fontId="3" fillId="0" borderId="0" xfId="62" applyFont="1" applyBorder="1">
      <alignment/>
      <protection/>
    </xf>
    <xf numFmtId="0" fontId="31" fillId="0" borderId="10" xfId="62" applyFont="1" applyBorder="1" applyAlignment="1">
      <alignment horizontal="distributed" vertical="center" shrinkToFit="1"/>
      <protection/>
    </xf>
    <xf numFmtId="0" fontId="31" fillId="0" borderId="24" xfId="62" applyFont="1" applyBorder="1" applyAlignment="1">
      <alignment horizontal="center" vertical="center" wrapText="1"/>
      <protection/>
    </xf>
    <xf numFmtId="0" fontId="31" fillId="0" borderId="22" xfId="62" applyFont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 shrinkToFit="1"/>
      <protection/>
    </xf>
    <xf numFmtId="38" fontId="1" fillId="0" borderId="10" xfId="50" applyFont="1" applyBorder="1" applyAlignment="1">
      <alignment horizontal="center" vertical="center" wrapText="1"/>
    </xf>
    <xf numFmtId="49" fontId="31" fillId="0" borderId="10" xfId="62" applyNumberFormat="1" applyFont="1" applyBorder="1" applyAlignment="1">
      <alignment horizontal="center" vertical="center" shrinkToFit="1"/>
      <protection/>
    </xf>
    <xf numFmtId="49" fontId="1" fillId="0" borderId="12" xfId="62" applyNumberFormat="1" applyFont="1" applyBorder="1" applyAlignment="1">
      <alignment horizontal="center" vertical="center" shrinkToFit="1"/>
      <protection/>
    </xf>
    <xf numFmtId="0" fontId="3" fillId="0" borderId="12" xfId="62" applyFont="1" applyBorder="1" applyAlignment="1">
      <alignment horizontal="center" vertical="center" shrinkToFit="1"/>
      <protection/>
    </xf>
    <xf numFmtId="0" fontId="3" fillId="0" borderId="23" xfId="62" applyFont="1" applyBorder="1" applyAlignment="1">
      <alignment horizontal="distributed" vertical="center" shrinkToFit="1"/>
      <protection/>
    </xf>
    <xf numFmtId="0" fontId="3" fillId="0" borderId="61" xfId="62" applyFont="1" applyBorder="1" applyAlignment="1">
      <alignment horizontal="distributed" vertical="center" shrinkToFit="1"/>
      <protection/>
    </xf>
    <xf numFmtId="0" fontId="31" fillId="0" borderId="11" xfId="62" applyFont="1" applyBorder="1" applyAlignment="1">
      <alignment horizontal="distributed" vertical="center" shrinkToFit="1"/>
      <protection/>
    </xf>
    <xf numFmtId="0" fontId="31" fillId="0" borderId="79" xfId="62" applyFont="1" applyBorder="1" applyAlignment="1">
      <alignment horizontal="center" vertical="center" wrapText="1"/>
      <protection/>
    </xf>
    <xf numFmtId="0" fontId="31" fillId="0" borderId="25" xfId="62" applyFont="1" applyBorder="1" applyAlignment="1">
      <alignment horizontal="center" vertical="center" wrapText="1"/>
      <protection/>
    </xf>
    <xf numFmtId="0" fontId="32" fillId="0" borderId="11" xfId="62" applyFont="1" applyBorder="1" applyAlignment="1">
      <alignment horizontal="center" vertical="center" shrinkToFit="1"/>
      <protection/>
    </xf>
    <xf numFmtId="38" fontId="1" fillId="0" borderId="11" xfId="50" applyFont="1" applyBorder="1" applyAlignment="1">
      <alignment horizontal="center" vertical="center" wrapText="1"/>
    </xf>
    <xf numFmtId="49" fontId="31" fillId="0" borderId="11" xfId="62" applyNumberFormat="1" applyFont="1" applyBorder="1" applyAlignment="1">
      <alignment horizontal="center" vertical="center" shrinkToFit="1"/>
      <protection/>
    </xf>
    <xf numFmtId="49" fontId="1" fillId="0" borderId="11" xfId="62" applyNumberFormat="1" applyFont="1" applyBorder="1" applyAlignment="1">
      <alignment vertical="center" shrinkToFit="1"/>
      <protection/>
    </xf>
    <xf numFmtId="49" fontId="1" fillId="0" borderId="11" xfId="62" applyNumberFormat="1" applyFont="1" applyBorder="1" applyAlignment="1">
      <alignment horizontal="center" vertical="center" shrinkToFit="1"/>
      <protection/>
    </xf>
    <xf numFmtId="0" fontId="3" fillId="0" borderId="11" xfId="62" applyFont="1" applyBorder="1" applyAlignment="1">
      <alignment horizontal="center" vertical="center" shrinkToFit="1"/>
      <protection/>
    </xf>
    <xf numFmtId="0" fontId="3" fillId="0" borderId="79" xfId="62" applyFont="1" applyBorder="1" applyAlignment="1">
      <alignment horizontal="distributed" vertical="center" shrinkToFit="1"/>
      <protection/>
    </xf>
    <xf numFmtId="0" fontId="3" fillId="0" borderId="25" xfId="62" applyFont="1" applyBorder="1" applyAlignment="1">
      <alignment horizontal="distributed" vertical="center" shrinkToFit="1"/>
      <protection/>
    </xf>
    <xf numFmtId="0" fontId="31" fillId="0" borderId="12" xfId="62" applyFont="1" applyBorder="1" applyAlignment="1">
      <alignment shrinkToFit="1"/>
      <protection/>
    </xf>
    <xf numFmtId="0" fontId="31" fillId="0" borderId="23" xfId="62" applyFont="1" applyBorder="1" applyAlignment="1">
      <alignment shrinkToFit="1"/>
      <protection/>
    </xf>
    <xf numFmtId="0" fontId="31" fillId="0" borderId="61" xfId="62" applyFont="1" applyBorder="1" applyAlignment="1">
      <alignment shrinkToFit="1"/>
      <protection/>
    </xf>
    <xf numFmtId="38" fontId="31" fillId="0" borderId="61" xfId="50" applyFont="1" applyBorder="1" applyAlignment="1">
      <alignment shrinkToFit="1"/>
    </xf>
    <xf numFmtId="49" fontId="31" fillId="0" borderId="61" xfId="62" applyNumberFormat="1" applyFont="1" applyBorder="1" applyAlignment="1">
      <alignment horizontal="right" shrinkToFit="1"/>
      <protection/>
    </xf>
    <xf numFmtId="0" fontId="31" fillId="0" borderId="12" xfId="62" applyFont="1" applyBorder="1" applyAlignment="1">
      <alignment horizontal="center" shrinkToFit="1"/>
      <protection/>
    </xf>
    <xf numFmtId="49" fontId="3" fillId="0" borderId="61" xfId="62" applyNumberFormat="1" applyFont="1" applyBorder="1" applyAlignment="1">
      <alignment horizontal="right"/>
      <protection/>
    </xf>
    <xf numFmtId="0" fontId="3" fillId="0" borderId="61" xfId="62" applyFont="1" applyBorder="1" applyAlignment="1">
      <alignment horizontal="distributed" shrinkToFit="1"/>
      <protection/>
    </xf>
    <xf numFmtId="0" fontId="3" fillId="0" borderId="61" xfId="62" applyFont="1" applyBorder="1" applyAlignment="1">
      <alignment shrinkToFit="1"/>
      <protection/>
    </xf>
    <xf numFmtId="0" fontId="3" fillId="0" borderId="61" xfId="62" applyFont="1" applyBorder="1" applyAlignment="1">
      <alignment horizontal="center" shrinkToFit="1"/>
      <protection/>
    </xf>
    <xf numFmtId="0" fontId="3" fillId="0" borderId="68" xfId="62" applyFont="1" applyBorder="1" applyAlignment="1">
      <alignment shrinkToFit="1"/>
      <protection/>
    </xf>
    <xf numFmtId="0" fontId="3" fillId="0" borderId="61" xfId="62" applyFont="1" applyBorder="1" applyAlignment="1">
      <alignment horizontal="right" shrinkToFit="1"/>
      <protection/>
    </xf>
    <xf numFmtId="0" fontId="3" fillId="0" borderId="12" xfId="62" applyFont="1" applyBorder="1" applyAlignment="1">
      <alignment horizontal="right" shrinkToFit="1"/>
      <protection/>
    </xf>
    <xf numFmtId="0" fontId="31" fillId="0" borderId="10" xfId="62" applyFont="1" applyBorder="1" applyAlignment="1">
      <alignment shrinkToFit="1"/>
      <protection/>
    </xf>
    <xf numFmtId="0" fontId="31" fillId="0" borderId="24" xfId="62" applyFont="1" applyBorder="1" applyAlignment="1">
      <alignment shrinkToFit="1"/>
      <protection/>
    </xf>
    <xf numFmtId="0" fontId="31" fillId="0" borderId="22" xfId="62" applyFont="1" applyBorder="1" applyAlignment="1">
      <alignment shrinkToFit="1"/>
      <protection/>
    </xf>
    <xf numFmtId="0" fontId="31" fillId="0" borderId="22" xfId="62" applyFont="1" applyBorder="1" applyAlignment="1">
      <alignment shrinkToFit="1"/>
      <protection/>
    </xf>
    <xf numFmtId="38" fontId="31" fillId="0" borderId="22" xfId="50" applyFont="1" applyBorder="1" applyAlignment="1">
      <alignment shrinkToFit="1"/>
    </xf>
    <xf numFmtId="49" fontId="31" fillId="0" borderId="22" xfId="62" applyNumberFormat="1" applyFont="1" applyBorder="1" applyAlignment="1">
      <alignment horizontal="right" shrinkToFit="1"/>
      <protection/>
    </xf>
    <xf numFmtId="0" fontId="31" fillId="0" borderId="10" xfId="62" applyFont="1" applyBorder="1" applyAlignment="1">
      <alignment horizontal="center" shrinkToFit="1"/>
      <protection/>
    </xf>
    <xf numFmtId="49" fontId="3" fillId="0" borderId="22" xfId="62" applyNumberFormat="1" applyFont="1" applyBorder="1" applyAlignment="1">
      <alignment horizontal="right"/>
      <protection/>
    </xf>
    <xf numFmtId="0" fontId="3" fillId="0" borderId="22" xfId="62" applyFont="1" applyBorder="1" applyAlignment="1">
      <alignment horizontal="center" vertical="center" shrinkToFit="1"/>
      <protection/>
    </xf>
    <xf numFmtId="0" fontId="3" fillId="0" borderId="22" xfId="62" applyFont="1" applyBorder="1" applyAlignment="1">
      <alignment shrinkToFit="1"/>
      <protection/>
    </xf>
    <xf numFmtId="0" fontId="3" fillId="0" borderId="22" xfId="62" applyFont="1" applyBorder="1" applyAlignment="1">
      <alignment horizontal="center" shrinkToFit="1"/>
      <protection/>
    </xf>
    <xf numFmtId="0" fontId="3" fillId="0" borderId="22" xfId="62" applyFont="1" applyBorder="1" applyAlignment="1">
      <alignment horizontal="right" shrinkToFit="1"/>
      <protection/>
    </xf>
    <xf numFmtId="0" fontId="3" fillId="0" borderId="10" xfId="62" applyFont="1" applyBorder="1" applyAlignment="1">
      <alignment horizontal="right" shrinkToFit="1"/>
      <protection/>
    </xf>
    <xf numFmtId="0" fontId="31" fillId="0" borderId="24" xfId="62" applyFont="1" applyBorder="1" applyAlignment="1">
      <alignment shrinkToFit="1"/>
      <protection/>
    </xf>
    <xf numFmtId="0" fontId="31" fillId="0" borderId="0" xfId="62" applyFont="1" applyBorder="1" applyAlignment="1">
      <alignment shrinkToFit="1"/>
      <protection/>
    </xf>
    <xf numFmtId="0" fontId="31" fillId="0" borderId="22" xfId="62" applyFont="1" applyBorder="1" applyAlignment="1">
      <alignment horizontal="right" shrinkToFit="1"/>
      <protection/>
    </xf>
    <xf numFmtId="0" fontId="3" fillId="0" borderId="0" xfId="62" applyFont="1" applyBorder="1" applyAlignment="1">
      <alignment shrinkToFit="1"/>
      <protection/>
    </xf>
    <xf numFmtId="0" fontId="3" fillId="0" borderId="10" xfId="62" applyFont="1" applyBorder="1" applyAlignment="1">
      <alignment horizontal="right"/>
      <protection/>
    </xf>
    <xf numFmtId="0" fontId="3" fillId="0" borderId="24" xfId="62" applyFont="1" applyBorder="1" applyAlignment="1">
      <alignment horizontal="center" shrinkToFit="1"/>
      <protection/>
    </xf>
    <xf numFmtId="0" fontId="3" fillId="0" borderId="22" xfId="62" applyFont="1" applyBorder="1" applyAlignment="1">
      <alignment horizontal="center" shrinkToFit="1"/>
      <protection/>
    </xf>
    <xf numFmtId="0" fontId="31" fillId="0" borderId="24" xfId="62" applyFont="1" applyFill="1" applyBorder="1" applyAlignment="1">
      <alignment shrinkToFit="1"/>
      <protection/>
    </xf>
    <xf numFmtId="0" fontId="31" fillId="0" borderId="22" xfId="62" applyFont="1" applyFill="1" applyBorder="1" applyAlignment="1">
      <alignment shrinkToFit="1"/>
      <protection/>
    </xf>
    <xf numFmtId="0" fontId="31" fillId="0" borderId="11" xfId="62" applyFont="1" applyBorder="1" applyAlignment="1">
      <alignment shrinkToFit="1"/>
      <protection/>
    </xf>
    <xf numFmtId="0" fontId="31" fillId="0" borderId="79" xfId="62" applyFont="1" applyBorder="1" applyAlignment="1">
      <alignment shrinkToFit="1"/>
      <protection/>
    </xf>
    <xf numFmtId="0" fontId="31" fillId="0" borderId="25" xfId="62" applyFont="1" applyBorder="1" applyAlignment="1">
      <alignment shrinkToFit="1"/>
      <protection/>
    </xf>
    <xf numFmtId="38" fontId="31" fillId="0" borderId="25" xfId="50" applyFont="1" applyBorder="1" applyAlignment="1">
      <alignment shrinkToFit="1"/>
    </xf>
    <xf numFmtId="49" fontId="31" fillId="0" borderId="25" xfId="62" applyNumberFormat="1" applyFont="1" applyBorder="1" applyAlignment="1">
      <alignment horizontal="right" shrinkToFit="1"/>
      <protection/>
    </xf>
    <xf numFmtId="0" fontId="31" fillId="0" borderId="11" xfId="62" applyFont="1" applyBorder="1" applyAlignment="1">
      <alignment horizontal="center" shrinkToFit="1"/>
      <protection/>
    </xf>
    <xf numFmtId="49" fontId="3" fillId="0" borderId="25" xfId="62" applyNumberFormat="1" applyFont="1" applyBorder="1" applyAlignment="1">
      <alignment horizontal="right"/>
      <protection/>
    </xf>
    <xf numFmtId="0" fontId="3" fillId="0" borderId="25" xfId="62" applyFont="1" applyBorder="1" applyAlignment="1">
      <alignment shrinkToFit="1"/>
      <protection/>
    </xf>
    <xf numFmtId="0" fontId="3" fillId="0" borderId="25" xfId="62" applyFont="1" applyBorder="1" applyAlignment="1">
      <alignment horizontal="center" shrinkToFit="1"/>
      <protection/>
    </xf>
    <xf numFmtId="0" fontId="3" fillId="0" borderId="56" xfId="62" applyFont="1" applyBorder="1" applyAlignment="1">
      <alignment shrinkToFit="1"/>
      <protection/>
    </xf>
    <xf numFmtId="0" fontId="3" fillId="0" borderId="25" xfId="62" applyFont="1" applyBorder="1" applyAlignment="1">
      <alignment horizontal="right" shrinkToFit="1"/>
      <protection/>
    </xf>
    <xf numFmtId="0" fontId="3" fillId="0" borderId="11" xfId="62" applyFont="1" applyBorder="1" applyAlignment="1">
      <alignment horizontal="right" shrinkToFit="1"/>
      <protection/>
    </xf>
    <xf numFmtId="0" fontId="31" fillId="0" borderId="0" xfId="62" applyFont="1" applyAlignment="1">
      <alignment/>
      <protection/>
    </xf>
    <xf numFmtId="0" fontId="31" fillId="0" borderId="0" xfId="62" applyFont="1" applyAlignment="1">
      <alignment shrinkToFit="1"/>
      <protection/>
    </xf>
    <xf numFmtId="38" fontId="31" fillId="0" borderId="0" xfId="50" applyFont="1" applyAlignment="1">
      <alignment horizontal="center" shrinkToFit="1"/>
    </xf>
    <xf numFmtId="49" fontId="31" fillId="0" borderId="0" xfId="62" applyNumberFormat="1" applyFont="1" applyAlignment="1">
      <alignment horizontal="right" shrinkToFit="1"/>
      <protection/>
    </xf>
    <xf numFmtId="0" fontId="31" fillId="0" borderId="0" xfId="62" applyFont="1" applyAlignment="1">
      <alignment horizontal="center" shrinkToFit="1"/>
      <protection/>
    </xf>
    <xf numFmtId="49" fontId="3" fillId="0" borderId="0" xfId="62" applyNumberFormat="1" applyFont="1" applyAlignment="1">
      <alignment horizontal="right"/>
      <protection/>
    </xf>
    <xf numFmtId="0" fontId="3" fillId="0" borderId="0" xfId="62" applyFont="1" applyAlignment="1">
      <alignment horizontal="distributed" shrinkToFit="1"/>
      <protection/>
    </xf>
    <xf numFmtId="0" fontId="3" fillId="0" borderId="0" xfId="62" applyFont="1" applyAlignment="1">
      <alignment horizontal="center" shrinkToFit="1"/>
      <protection/>
    </xf>
    <xf numFmtId="0" fontId="3" fillId="0" borderId="0" xfId="62" applyFont="1" applyAlignment="1">
      <alignment horizontal="right" shrinkToFit="1"/>
      <protection/>
    </xf>
    <xf numFmtId="0" fontId="3" fillId="0" borderId="0" xfId="62" applyFont="1" applyAlignment="1">
      <alignment horizontal="right" vertical="center"/>
      <protection/>
    </xf>
    <xf numFmtId="0" fontId="0" fillId="0" borderId="56" xfId="62" applyFont="1" applyBorder="1" applyAlignment="1">
      <alignment vertical="center"/>
      <protection/>
    </xf>
    <xf numFmtId="0" fontId="3" fillId="0" borderId="56" xfId="62" applyFont="1" applyBorder="1" applyAlignment="1">
      <alignment/>
      <protection/>
    </xf>
    <xf numFmtId="0" fontId="3" fillId="0" borderId="12" xfId="62" applyFont="1" applyBorder="1" applyAlignment="1">
      <alignment vertical="center"/>
      <protection/>
    </xf>
    <xf numFmtId="0" fontId="3" fillId="0" borderId="12" xfId="62" applyFont="1" applyBorder="1" applyAlignment="1">
      <alignment horizontal="distributed" vertical="center"/>
      <protection/>
    </xf>
    <xf numFmtId="0" fontId="3" fillId="0" borderId="12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distributed"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9" xfId="62" applyFont="1" applyBorder="1" applyAlignment="1">
      <alignment horizontal="distributed" vertical="center"/>
      <protection/>
    </xf>
    <xf numFmtId="0" fontId="3" fillId="0" borderId="11" xfId="62" applyFont="1" applyBorder="1" applyAlignment="1">
      <alignment horizontal="distributed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19" xfId="62" applyFont="1" applyBorder="1" applyAlignment="1">
      <alignment horizontal="distributed" vertical="center"/>
      <protection/>
    </xf>
    <xf numFmtId="0" fontId="3" fillId="0" borderId="26" xfId="62" applyFont="1" applyBorder="1" applyAlignment="1">
      <alignment horizontal="distributed" vertical="center"/>
      <protection/>
    </xf>
    <xf numFmtId="0" fontId="3" fillId="0" borderId="21" xfId="62" applyFont="1" applyBorder="1" applyAlignment="1">
      <alignment horizontal="distributed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38" fontId="4" fillId="0" borderId="12" xfId="62" applyNumberFormat="1" applyFont="1" applyFill="1" applyBorder="1" applyAlignment="1">
      <alignment vertical="center"/>
      <protection/>
    </xf>
    <xf numFmtId="38" fontId="4" fillId="0" borderId="23" xfId="62" applyNumberFormat="1" applyFont="1" applyFill="1" applyBorder="1" applyAlignment="1">
      <alignment vertical="center"/>
      <protection/>
    </xf>
    <xf numFmtId="38" fontId="4" fillId="0" borderId="14" xfId="62" applyNumberFormat="1" applyFont="1" applyFill="1" applyBorder="1" applyAlignment="1">
      <alignment vertical="center"/>
      <protection/>
    </xf>
    <xf numFmtId="38" fontId="4" fillId="0" borderId="12" xfId="62" applyNumberFormat="1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right" vertical="center"/>
      <protection/>
    </xf>
    <xf numFmtId="38" fontId="3" fillId="0" borderId="10" xfId="50" applyFont="1" applyFill="1" applyBorder="1" applyAlignment="1">
      <alignment vertical="center"/>
    </xf>
    <xf numFmtId="38" fontId="3" fillId="0" borderId="24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10" xfId="50" applyFont="1" applyFill="1" applyBorder="1" applyAlignment="1">
      <alignment horizontal="right" vertical="center"/>
    </xf>
    <xf numFmtId="38" fontId="3" fillId="0" borderId="10" xfId="50" applyFont="1" applyFill="1" applyBorder="1" applyAlignment="1">
      <alignment vertical="center"/>
    </xf>
    <xf numFmtId="0" fontId="4" fillId="0" borderId="0" xfId="62" applyFont="1" applyFill="1" applyAlignment="1">
      <alignment vertical="center"/>
      <protection/>
    </xf>
    <xf numFmtId="38" fontId="3" fillId="0" borderId="24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0" fontId="3" fillId="0" borderId="11" xfId="62" applyFont="1" applyFill="1" applyBorder="1" applyAlignment="1">
      <alignment horizontal="right" vertical="center"/>
      <protection/>
    </xf>
    <xf numFmtId="38" fontId="3" fillId="0" borderId="11" xfId="50" applyFont="1" applyFill="1" applyBorder="1" applyAlignment="1">
      <alignment vertical="center"/>
    </xf>
    <xf numFmtId="38" fontId="3" fillId="0" borderId="79" xfId="50" applyFont="1" applyFill="1" applyBorder="1" applyAlignment="1">
      <alignment vertical="center"/>
    </xf>
    <xf numFmtId="38" fontId="3" fillId="0" borderId="18" xfId="50" applyFont="1" applyFill="1" applyBorder="1" applyAlignment="1">
      <alignment vertical="center"/>
    </xf>
    <xf numFmtId="38" fontId="3" fillId="0" borderId="11" xfId="50" applyFont="1" applyFill="1" applyBorder="1" applyAlignment="1">
      <alignment horizontal="right" vertical="center"/>
    </xf>
    <xf numFmtId="0" fontId="4" fillId="0" borderId="19" xfId="62" applyFont="1" applyFill="1" applyBorder="1" applyAlignment="1">
      <alignment horizontal="center" vertical="center" shrinkToFit="1"/>
      <protection/>
    </xf>
    <xf numFmtId="38" fontId="4" fillId="0" borderId="19" xfId="62" applyNumberFormat="1" applyFont="1" applyFill="1" applyBorder="1" applyAlignment="1">
      <alignment vertical="center"/>
      <protection/>
    </xf>
    <xf numFmtId="38" fontId="4" fillId="0" borderId="26" xfId="62" applyNumberFormat="1" applyFont="1" applyFill="1" applyBorder="1" applyAlignment="1">
      <alignment vertical="center"/>
      <protection/>
    </xf>
    <xf numFmtId="38" fontId="4" fillId="0" borderId="21" xfId="62" applyNumberFormat="1" applyFont="1" applyFill="1" applyBorder="1" applyAlignment="1">
      <alignment vertical="center"/>
      <protection/>
    </xf>
    <xf numFmtId="38" fontId="4" fillId="0" borderId="11" xfId="50" applyFont="1" applyFill="1" applyBorder="1" applyAlignment="1">
      <alignment horizontal="right" vertical="center"/>
    </xf>
    <xf numFmtId="38" fontId="4" fillId="0" borderId="9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/>
      <protection/>
    </xf>
    <xf numFmtId="38" fontId="3" fillId="0" borderId="0" xfId="62" applyNumberFormat="1" applyFont="1" applyFill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38" fontId="3" fillId="0" borderId="0" xfId="50" applyFont="1" applyFill="1" applyBorder="1" applyAlignment="1">
      <alignment/>
    </xf>
    <xf numFmtId="0" fontId="2" fillId="0" borderId="0" xfId="65" applyNumberFormat="1" applyFont="1" applyFill="1" applyAlignment="1" applyProtection="1">
      <alignment vertical="center"/>
      <protection/>
    </xf>
    <xf numFmtId="0" fontId="2" fillId="0" borderId="0" xfId="65" applyNumberFormat="1" applyFont="1" applyFill="1" applyAlignment="1" applyProtection="1">
      <alignment horizontal="center" vertical="center"/>
      <protection/>
    </xf>
    <xf numFmtId="0" fontId="34" fillId="0" borderId="0" xfId="64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35" fillId="0" borderId="0" xfId="65" applyNumberFormat="1" applyFont="1" applyFill="1" applyAlignment="1" applyProtection="1">
      <alignment vertical="center"/>
      <protection/>
    </xf>
    <xf numFmtId="0" fontId="3" fillId="0" borderId="12" xfId="64" applyNumberFormat="1" applyFont="1" applyFill="1" applyBorder="1" applyAlignment="1" applyProtection="1">
      <alignment horizontal="distributed" vertical="center"/>
      <protection/>
    </xf>
    <xf numFmtId="0" fontId="3" fillId="0" borderId="23" xfId="64" applyNumberFormat="1" applyFont="1" applyFill="1" applyBorder="1" applyAlignment="1" applyProtection="1">
      <alignment horizontal="distributed" vertical="center"/>
      <protection/>
    </xf>
    <xf numFmtId="0" fontId="3" fillId="0" borderId="68" xfId="64" applyNumberFormat="1" applyFont="1" applyFill="1" applyBorder="1" applyAlignment="1" applyProtection="1">
      <alignment horizontal="distributed" vertical="center"/>
      <protection/>
    </xf>
    <xf numFmtId="0" fontId="3" fillId="0" borderId="61" xfId="64" applyNumberFormat="1" applyFont="1" applyFill="1" applyBorder="1" applyAlignment="1" applyProtection="1">
      <alignment horizontal="distributed" vertical="center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1" xfId="65" applyNumberFormat="1" applyFont="1" applyFill="1" applyBorder="1" applyAlignment="1" applyProtection="1">
      <alignment horizontal="center" vertical="center"/>
      <protection/>
    </xf>
    <xf numFmtId="0" fontId="3" fillId="0" borderId="79" xfId="65" applyNumberFormat="1" applyFont="1" applyFill="1" applyBorder="1" applyAlignment="1" applyProtection="1">
      <alignment horizontal="center" vertical="center"/>
      <protection/>
    </xf>
    <xf numFmtId="0" fontId="3" fillId="0" borderId="70" xfId="65" applyNumberFormat="1" applyFont="1" applyFill="1" applyBorder="1" applyAlignment="1" applyProtection="1">
      <alignment horizontal="center" vertical="center"/>
      <protection/>
    </xf>
    <xf numFmtId="0" fontId="3" fillId="0" borderId="71" xfId="65" applyNumberFormat="1" applyFont="1" applyFill="1" applyBorder="1" applyAlignment="1" applyProtection="1">
      <alignment horizontal="center" vertical="center"/>
      <protection/>
    </xf>
    <xf numFmtId="0" fontId="3" fillId="0" borderId="11" xfId="65" applyNumberFormat="1" applyFont="1" applyFill="1" applyBorder="1" applyAlignment="1" applyProtection="1">
      <alignment horizontal="right" vertical="center"/>
      <protection/>
    </xf>
    <xf numFmtId="178" fontId="4" fillId="0" borderId="12" xfId="64" applyNumberFormat="1" applyFont="1" applyFill="1" applyBorder="1" applyAlignment="1" applyProtection="1">
      <alignment vertical="center"/>
      <protection locked="0"/>
    </xf>
    <xf numFmtId="178" fontId="4" fillId="0" borderId="23" xfId="64" applyNumberFormat="1" applyFont="1" applyFill="1" applyBorder="1" applyAlignment="1" applyProtection="1">
      <alignment vertical="center"/>
      <protection locked="0"/>
    </xf>
    <xf numFmtId="178" fontId="4" fillId="0" borderId="80" xfId="64" applyNumberFormat="1" applyFont="1" applyFill="1" applyBorder="1" applyAlignment="1" applyProtection="1">
      <alignment vertical="center"/>
      <protection locked="0"/>
    </xf>
    <xf numFmtId="178" fontId="4" fillId="0" borderId="14" xfId="64" applyNumberFormat="1" applyFont="1" applyFill="1" applyBorder="1" applyAlignment="1" applyProtection="1">
      <alignment vertical="center"/>
      <protection locked="0"/>
    </xf>
    <xf numFmtId="176" fontId="4" fillId="0" borderId="12" xfId="64" applyNumberFormat="1" applyFont="1" applyFill="1" applyBorder="1" applyAlignment="1" applyProtection="1">
      <alignment vertical="center"/>
      <protection locked="0"/>
    </xf>
    <xf numFmtId="178" fontId="3" fillId="0" borderId="10" xfId="64" applyNumberFormat="1" applyFont="1" applyFill="1" applyBorder="1" applyAlignment="1" applyProtection="1">
      <alignment horizontal="right" vertical="center"/>
      <protection locked="0"/>
    </xf>
    <xf numFmtId="178" fontId="3" fillId="0" borderId="24" xfId="64" applyNumberFormat="1" applyFont="1" applyFill="1" applyBorder="1" applyAlignment="1" applyProtection="1">
      <alignment horizontal="right" vertical="center"/>
      <protection locked="0"/>
    </xf>
    <xf numFmtId="178" fontId="3" fillId="0" borderId="78" xfId="64" applyNumberFormat="1" applyFont="1" applyFill="1" applyBorder="1" applyAlignment="1" applyProtection="1">
      <alignment horizontal="right" vertical="center"/>
      <protection locked="0"/>
    </xf>
    <xf numFmtId="178" fontId="3" fillId="0" borderId="16" xfId="64" applyNumberFormat="1" applyFont="1" applyFill="1" applyBorder="1" applyAlignment="1" applyProtection="1">
      <alignment horizontal="right" vertical="center"/>
      <protection locked="0"/>
    </xf>
    <xf numFmtId="176" fontId="3" fillId="0" borderId="10" xfId="64" applyNumberFormat="1" applyFont="1" applyFill="1" applyBorder="1" applyAlignment="1" applyProtection="1">
      <alignment horizontal="right" vertical="center"/>
      <protection locked="0"/>
    </xf>
    <xf numFmtId="178" fontId="3" fillId="0" borderId="10" xfId="64" applyNumberFormat="1" applyFont="1" applyFill="1" applyBorder="1" applyAlignment="1" applyProtection="1">
      <alignment vertical="center"/>
      <protection locked="0"/>
    </xf>
    <xf numFmtId="178" fontId="3" fillId="0" borderId="24" xfId="64" applyNumberFormat="1" applyFont="1" applyFill="1" applyBorder="1" applyAlignment="1" applyProtection="1">
      <alignment vertical="center"/>
      <protection locked="0"/>
    </xf>
    <xf numFmtId="178" fontId="3" fillId="0" borderId="78" xfId="64" applyNumberFormat="1" applyFont="1" applyFill="1" applyBorder="1" applyAlignment="1" applyProtection="1">
      <alignment vertical="center"/>
      <protection locked="0"/>
    </xf>
    <xf numFmtId="178" fontId="3" fillId="0" borderId="16" xfId="64" applyNumberFormat="1" applyFont="1" applyFill="1" applyBorder="1" applyAlignment="1" applyProtection="1">
      <alignment vertical="center"/>
      <protection locked="0"/>
    </xf>
    <xf numFmtId="176" fontId="3" fillId="0" borderId="10" xfId="64" applyNumberFormat="1" applyFont="1" applyFill="1" applyBorder="1" applyAlignment="1" applyProtection="1">
      <alignment vertical="center"/>
      <protection locked="0"/>
    </xf>
    <xf numFmtId="178" fontId="3" fillId="0" borderId="11" xfId="64" applyNumberFormat="1" applyFont="1" applyFill="1" applyBorder="1" applyAlignment="1" applyProtection="1">
      <alignment horizontal="right" vertical="center"/>
      <protection locked="0"/>
    </xf>
    <xf numFmtId="178" fontId="3" fillId="0" borderId="79" xfId="64" applyNumberFormat="1" applyFont="1" applyFill="1" applyBorder="1" applyAlignment="1" applyProtection="1">
      <alignment horizontal="right" vertical="center"/>
      <protection locked="0"/>
    </xf>
    <xf numFmtId="178" fontId="3" fillId="0" borderId="76" xfId="64" applyNumberFormat="1" applyFont="1" applyFill="1" applyBorder="1" applyAlignment="1" applyProtection="1">
      <alignment horizontal="right" vertical="center"/>
      <protection locked="0"/>
    </xf>
    <xf numFmtId="178" fontId="3" fillId="0" borderId="18" xfId="64" applyNumberFormat="1" applyFont="1" applyFill="1" applyBorder="1" applyAlignment="1" applyProtection="1">
      <alignment horizontal="right" vertical="center"/>
      <protection locked="0"/>
    </xf>
    <xf numFmtId="176" fontId="3" fillId="0" borderId="11" xfId="64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178" fontId="3" fillId="0" borderId="11" xfId="64" applyNumberFormat="1" applyFont="1" applyFill="1" applyBorder="1" applyAlignment="1" applyProtection="1">
      <alignment vertical="center"/>
      <protection locked="0"/>
    </xf>
    <xf numFmtId="178" fontId="3" fillId="0" borderId="79" xfId="64" applyNumberFormat="1" applyFont="1" applyFill="1" applyBorder="1" applyAlignment="1" applyProtection="1">
      <alignment vertical="center"/>
      <protection locked="0"/>
    </xf>
    <xf numFmtId="178" fontId="3" fillId="0" borderId="76" xfId="64" applyNumberFormat="1" applyFont="1" applyFill="1" applyBorder="1" applyAlignment="1" applyProtection="1">
      <alignment vertical="center"/>
      <protection locked="0"/>
    </xf>
    <xf numFmtId="178" fontId="3" fillId="0" borderId="18" xfId="64" applyNumberFormat="1" applyFont="1" applyFill="1" applyBorder="1" applyAlignment="1" applyProtection="1">
      <alignment vertical="center"/>
      <protection locked="0"/>
    </xf>
    <xf numFmtId="176" fontId="3" fillId="0" borderId="11" xfId="64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64" applyNumberFormat="1" applyFont="1" applyFill="1" applyAlignment="1" applyProtection="1">
      <alignment vertical="center"/>
      <protection/>
    </xf>
    <xf numFmtId="176" fontId="3" fillId="0" borderId="68" xfId="64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64／165.XLS" xfId="64"/>
    <cellStyle name="標準_Sheet1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45"/>
          <c:w val="0.98025"/>
          <c:h val="0.9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'O-5'!$B$9</c:f>
              <c:strCache>
                <c:ptCount val="1"/>
                <c:pt idx="0">
                  <c:v>平成19年度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'O-5'!$D$4:$L$4</c:f>
              <c:strCache/>
            </c:strRef>
          </c:cat>
          <c:val>
            <c:numRef>
              <c:f>'O-5'!$D$9:$L$9</c:f>
              <c:numCache/>
            </c:numRef>
          </c:val>
        </c:ser>
        <c:ser>
          <c:idx val="5"/>
          <c:order val="1"/>
          <c:tx>
            <c:strRef>
              <c:f>'O-5'!$B$10</c:f>
              <c:strCache>
                <c:ptCount val="1"/>
                <c:pt idx="0">
                  <c:v>平成20年度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'O-5'!$D$4:$L$4</c:f>
              <c:strCache/>
            </c:strRef>
          </c:cat>
          <c:val>
            <c:numRef>
              <c:f>'O-5'!$D$10:$L$10</c:f>
              <c:numCache/>
            </c:numRef>
          </c:val>
        </c:ser>
        <c:ser>
          <c:idx val="6"/>
          <c:order val="2"/>
          <c:tx>
            <c:v>平成21年度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'O-5'!$D$4:$L$4</c:f>
              <c:strCache/>
            </c:strRef>
          </c:cat>
          <c:val>
            <c:numRef>
              <c:f>'O-5'!$D$11:$L$11</c:f>
              <c:numCache/>
            </c:numRef>
          </c:val>
        </c:ser>
        <c:ser>
          <c:idx val="7"/>
          <c:order val="3"/>
          <c:tx>
            <c:strRef>
              <c:f>'O-5'!$B$12</c:f>
              <c:strCache>
                <c:ptCount val="1"/>
                <c:pt idx="0">
                  <c:v>平成22年度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'O-5'!$D$4:$L$4</c:f>
              <c:strCache/>
            </c:strRef>
          </c:cat>
          <c:val>
            <c:numRef>
              <c:f>'O-5'!$D$12:$L$12</c:f>
              <c:numCache/>
            </c:numRef>
          </c:val>
        </c:ser>
        <c:ser>
          <c:idx val="8"/>
          <c:order val="4"/>
          <c:tx>
            <c:strRef>
              <c:f>'O-5'!$B$13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'O-5'!$D$4:$L$4</c:f>
              <c:strCache/>
            </c:strRef>
          </c:cat>
          <c:val>
            <c:numRef>
              <c:f>'O-5'!$D$13:$L$13</c:f>
              <c:numCache/>
            </c:numRef>
          </c:val>
        </c:ser>
        <c:ser>
          <c:idx val="0"/>
          <c:order val="5"/>
          <c:tx>
            <c:strRef>
              <c:f>'O-5'!$B$14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'O-5'!$D$4:$L$4</c:f>
              <c:strCache/>
            </c:strRef>
          </c:cat>
          <c:val>
            <c:numRef>
              <c:f>'O-5'!$D$14:$L$14</c:f>
              <c:numCache/>
            </c:numRef>
          </c:val>
        </c:ser>
        <c:ser>
          <c:idx val="1"/>
          <c:order val="6"/>
          <c:tx>
            <c:strRef>
              <c:f>'O-5'!$B$15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'O-5'!$D$4:$L$4</c:f>
              <c:strCache/>
            </c:strRef>
          </c:cat>
          <c:val>
            <c:numRef>
              <c:f>'O-5'!$D$15:$L$15</c:f>
              <c:numCache/>
            </c:numRef>
          </c:val>
        </c:ser>
        <c:ser>
          <c:idx val="2"/>
          <c:order val="7"/>
          <c:tx>
            <c:strRef>
              <c:f>'O-5'!$B$16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E6B9B8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'O-5'!$D$16:$L$16</c:f>
              <c:numCache/>
            </c:numRef>
          </c:val>
        </c:ser>
        <c:axId val="58858918"/>
        <c:axId val="59968215"/>
      </c:barChart>
      <c:catAx>
        <c:axId val="58858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68215"/>
        <c:crosses val="autoZero"/>
        <c:auto val="1"/>
        <c:lblOffset val="100"/>
        <c:tickLblSkip val="1"/>
        <c:noMultiLvlLbl val="0"/>
      </c:catAx>
      <c:valAx>
        <c:axId val="59968215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89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10175"/>
          <c:w val="0.1242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0</xdr:rowOff>
    </xdr:from>
    <xdr:to>
      <xdr:col>11</xdr:col>
      <xdr:colOff>514350</xdr:colOff>
      <xdr:row>47</xdr:row>
      <xdr:rowOff>9525</xdr:rowOff>
    </xdr:to>
    <xdr:graphicFrame>
      <xdr:nvGraphicFramePr>
        <xdr:cNvPr id="1" name="グラフ 2"/>
        <xdr:cNvGraphicFramePr/>
      </xdr:nvGraphicFramePr>
      <xdr:xfrm>
        <a:off x="295275" y="5619750"/>
        <a:ext cx="61436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22</xdr:row>
      <xdr:rowOff>66675</xdr:rowOff>
    </xdr:from>
    <xdr:to>
      <xdr:col>8</xdr:col>
      <xdr:colOff>342900</xdr:colOff>
      <xdr:row>24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2057400" y="6391275"/>
          <a:ext cx="2581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えちぜん鉄道駅別乗車人数（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日平均）</a:t>
          </a:r>
        </a:p>
      </xdr:txBody>
    </xdr:sp>
    <xdr:clientData/>
  </xdr:twoCellAnchor>
  <xdr:twoCellAnchor>
    <xdr:from>
      <xdr:col>1</xdr:col>
      <xdr:colOff>209550</xdr:colOff>
      <xdr:row>21</xdr:row>
      <xdr:rowOff>133350</xdr:rowOff>
    </xdr:from>
    <xdr:to>
      <xdr:col>1</xdr:col>
      <xdr:colOff>428625</xdr:colOff>
      <xdr:row>23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485775" y="628650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23</xdr:row>
      <xdr:rowOff>161925</xdr:rowOff>
    </xdr:from>
    <xdr:to>
      <xdr:col>15</xdr:col>
      <xdr:colOff>76200</xdr:colOff>
      <xdr:row>61</xdr:row>
      <xdr:rowOff>123825</xdr:rowOff>
    </xdr:to>
    <xdr:pic>
      <xdr:nvPicPr>
        <xdr:cNvPr id="1" name="Picture 18" descr="無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619625"/>
          <a:ext cx="524827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50</xdr:row>
      <xdr:rowOff>9525</xdr:rowOff>
    </xdr:from>
    <xdr:to>
      <xdr:col>7</xdr:col>
      <xdr:colOff>19050</xdr:colOff>
      <xdr:row>50</xdr:row>
      <xdr:rowOff>85725</xdr:rowOff>
    </xdr:to>
    <xdr:sp>
      <xdr:nvSpPr>
        <xdr:cNvPr id="2" name="Oval 7"/>
        <xdr:cNvSpPr>
          <a:spLocks/>
        </xdr:cNvSpPr>
      </xdr:nvSpPr>
      <xdr:spPr>
        <a:xfrm>
          <a:off x="3362325" y="83534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43</xdr:row>
      <xdr:rowOff>95250</xdr:rowOff>
    </xdr:from>
    <xdr:to>
      <xdr:col>9</xdr:col>
      <xdr:colOff>276225</xdr:colOff>
      <xdr:row>44</xdr:row>
      <xdr:rowOff>28575</xdr:rowOff>
    </xdr:to>
    <xdr:sp>
      <xdr:nvSpPr>
        <xdr:cNvPr id="3" name="Oval 8"/>
        <xdr:cNvSpPr>
          <a:spLocks/>
        </xdr:cNvSpPr>
      </xdr:nvSpPr>
      <xdr:spPr>
        <a:xfrm>
          <a:off x="4248150" y="74390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52</xdr:row>
      <xdr:rowOff>114300</xdr:rowOff>
    </xdr:from>
    <xdr:to>
      <xdr:col>8</xdr:col>
      <xdr:colOff>57150</xdr:colOff>
      <xdr:row>53</xdr:row>
      <xdr:rowOff>47625</xdr:rowOff>
    </xdr:to>
    <xdr:sp>
      <xdr:nvSpPr>
        <xdr:cNvPr id="4" name="Oval 9"/>
        <xdr:cNvSpPr>
          <a:spLocks/>
        </xdr:cNvSpPr>
      </xdr:nvSpPr>
      <xdr:spPr>
        <a:xfrm>
          <a:off x="3714750" y="87439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26</xdr:row>
      <xdr:rowOff>28575</xdr:rowOff>
    </xdr:from>
    <xdr:to>
      <xdr:col>8</xdr:col>
      <xdr:colOff>9525</xdr:colOff>
      <xdr:row>26</xdr:row>
      <xdr:rowOff>104775</xdr:rowOff>
    </xdr:to>
    <xdr:sp>
      <xdr:nvSpPr>
        <xdr:cNvPr id="5" name="Oval 10"/>
        <xdr:cNvSpPr>
          <a:spLocks/>
        </xdr:cNvSpPr>
      </xdr:nvSpPr>
      <xdr:spPr>
        <a:xfrm>
          <a:off x="3667125" y="49434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26</xdr:row>
      <xdr:rowOff>114300</xdr:rowOff>
    </xdr:from>
    <xdr:to>
      <xdr:col>8</xdr:col>
      <xdr:colOff>66675</xdr:colOff>
      <xdr:row>28</xdr:row>
      <xdr:rowOff>9525</xdr:rowOff>
    </xdr:to>
    <xdr:sp>
      <xdr:nvSpPr>
        <xdr:cNvPr id="6" name="Rectangle 11"/>
        <xdr:cNvSpPr>
          <a:spLocks/>
        </xdr:cNvSpPr>
      </xdr:nvSpPr>
      <xdr:spPr>
        <a:xfrm>
          <a:off x="3257550" y="5029200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雄島灯台</a:t>
          </a:r>
        </a:p>
      </xdr:txBody>
    </xdr:sp>
    <xdr:clientData/>
  </xdr:twoCellAnchor>
  <xdr:twoCellAnchor>
    <xdr:from>
      <xdr:col>7</xdr:col>
      <xdr:colOff>104775</xdr:colOff>
      <xdr:row>44</xdr:row>
      <xdr:rowOff>19050</xdr:rowOff>
    </xdr:from>
    <xdr:to>
      <xdr:col>9</xdr:col>
      <xdr:colOff>266700</xdr:colOff>
      <xdr:row>45</xdr:row>
      <xdr:rowOff>19050</xdr:rowOff>
    </xdr:to>
    <xdr:sp>
      <xdr:nvSpPr>
        <xdr:cNvPr id="7" name="Rectangle 12"/>
        <xdr:cNvSpPr>
          <a:spLocks/>
        </xdr:cNvSpPr>
      </xdr:nvSpPr>
      <xdr:spPr>
        <a:xfrm>
          <a:off x="3524250" y="7505700"/>
          <a:ext cx="790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三国防波堤灯台</a:t>
          </a:r>
        </a:p>
      </xdr:txBody>
    </xdr:sp>
    <xdr:clientData/>
  </xdr:twoCellAnchor>
  <xdr:twoCellAnchor>
    <xdr:from>
      <xdr:col>10</xdr:col>
      <xdr:colOff>38100</xdr:colOff>
      <xdr:row>42</xdr:row>
      <xdr:rowOff>85725</xdr:rowOff>
    </xdr:from>
    <xdr:to>
      <xdr:col>10</xdr:col>
      <xdr:colOff>114300</xdr:colOff>
      <xdr:row>43</xdr:row>
      <xdr:rowOff>19050</xdr:rowOff>
    </xdr:to>
    <xdr:sp>
      <xdr:nvSpPr>
        <xdr:cNvPr id="8" name="Oval 13"/>
        <xdr:cNvSpPr>
          <a:spLocks/>
        </xdr:cNvSpPr>
      </xdr:nvSpPr>
      <xdr:spPr>
        <a:xfrm>
          <a:off x="4514850" y="72866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41</xdr:row>
      <xdr:rowOff>76200</xdr:rowOff>
    </xdr:from>
    <xdr:to>
      <xdr:col>13</xdr:col>
      <xdr:colOff>133350</xdr:colOff>
      <xdr:row>42</xdr:row>
      <xdr:rowOff>76200</xdr:rowOff>
    </xdr:to>
    <xdr:sp>
      <xdr:nvSpPr>
        <xdr:cNvPr id="9" name="Rectangle 14"/>
        <xdr:cNvSpPr>
          <a:spLocks/>
        </xdr:cNvSpPr>
      </xdr:nvSpPr>
      <xdr:spPr>
        <a:xfrm>
          <a:off x="4295775" y="7134225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三国防波堤南西方照射灯</a:t>
          </a:r>
        </a:p>
      </xdr:txBody>
    </xdr:sp>
    <xdr:clientData/>
  </xdr:twoCellAnchor>
  <xdr:twoCellAnchor>
    <xdr:from>
      <xdr:col>5</xdr:col>
      <xdr:colOff>209550</xdr:colOff>
      <xdr:row>48</xdr:row>
      <xdr:rowOff>133350</xdr:rowOff>
    </xdr:from>
    <xdr:to>
      <xdr:col>7</xdr:col>
      <xdr:colOff>209550</xdr:colOff>
      <xdr:row>49</xdr:row>
      <xdr:rowOff>133350</xdr:rowOff>
    </xdr:to>
    <xdr:sp>
      <xdr:nvSpPr>
        <xdr:cNvPr id="10" name="Rectangle 15"/>
        <xdr:cNvSpPr>
          <a:spLocks/>
        </xdr:cNvSpPr>
      </xdr:nvSpPr>
      <xdr:spPr>
        <a:xfrm>
          <a:off x="2733675" y="8191500"/>
          <a:ext cx="895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福井南防波堤灯台</a:t>
          </a:r>
        </a:p>
      </xdr:txBody>
    </xdr:sp>
    <xdr:clientData/>
  </xdr:twoCellAnchor>
  <xdr:twoCellAnchor>
    <xdr:from>
      <xdr:col>7</xdr:col>
      <xdr:colOff>85725</xdr:colOff>
      <xdr:row>53</xdr:row>
      <xdr:rowOff>57150</xdr:rowOff>
    </xdr:from>
    <xdr:to>
      <xdr:col>9</xdr:col>
      <xdr:colOff>352425</xdr:colOff>
      <xdr:row>54</xdr:row>
      <xdr:rowOff>57150</xdr:rowOff>
    </xdr:to>
    <xdr:sp>
      <xdr:nvSpPr>
        <xdr:cNvPr id="11" name="Rectangle 16"/>
        <xdr:cNvSpPr>
          <a:spLocks/>
        </xdr:cNvSpPr>
      </xdr:nvSpPr>
      <xdr:spPr>
        <a:xfrm>
          <a:off x="3505200" y="8829675"/>
          <a:ext cx="895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福井北防波堤灯台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314450" y="1007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-5(&#2816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-5"/>
      <sheetName val="Sheet1"/>
      <sheetName val="Sheet2"/>
    </sheetNames>
    <sheetDataSet>
      <sheetData sheetId="0">
        <row r="4">
          <cell r="D4" t="str">
            <v>三国港</v>
          </cell>
          <cell r="E4" t="str">
            <v>三国</v>
          </cell>
          <cell r="F4" t="str">
            <v>三国神社</v>
          </cell>
          <cell r="G4" t="str">
            <v>水居</v>
          </cell>
          <cell r="H4" t="str">
            <v>大関</v>
          </cell>
          <cell r="I4" t="str">
            <v>下兵庫</v>
          </cell>
          <cell r="J4" t="str">
            <v>西長田</v>
          </cell>
          <cell r="K4" t="str">
            <v>西春江</v>
          </cell>
          <cell r="L4" t="str">
            <v>太郎丸</v>
          </cell>
        </row>
        <row r="9">
          <cell r="B9" t="str">
            <v>平成19年度</v>
          </cell>
          <cell r="D9">
            <v>160</v>
          </cell>
          <cell r="E9">
            <v>441</v>
          </cell>
          <cell r="F9">
            <v>59</v>
          </cell>
          <cell r="G9">
            <v>36</v>
          </cell>
          <cell r="H9">
            <v>75</v>
          </cell>
          <cell r="I9">
            <v>95</v>
          </cell>
          <cell r="J9">
            <v>123</v>
          </cell>
          <cell r="K9">
            <v>116</v>
          </cell>
          <cell r="L9">
            <v>127</v>
          </cell>
        </row>
        <row r="10">
          <cell r="B10" t="str">
            <v>平成20年度</v>
          </cell>
          <cell r="D10">
            <v>165</v>
          </cell>
          <cell r="E10">
            <v>466</v>
          </cell>
          <cell r="F10">
            <v>66</v>
          </cell>
          <cell r="G10">
            <v>36</v>
          </cell>
          <cell r="H10">
            <v>78</v>
          </cell>
          <cell r="I10">
            <v>85</v>
          </cell>
          <cell r="J10">
            <v>135</v>
          </cell>
          <cell r="K10">
            <v>123</v>
          </cell>
          <cell r="L10">
            <v>147</v>
          </cell>
        </row>
        <row r="11">
          <cell r="D11">
            <v>173</v>
          </cell>
          <cell r="E11">
            <v>458</v>
          </cell>
          <cell r="F11">
            <v>67</v>
          </cell>
          <cell r="G11">
            <v>31</v>
          </cell>
          <cell r="H11">
            <v>82</v>
          </cell>
          <cell r="I11">
            <v>83</v>
          </cell>
          <cell r="J11">
            <v>130</v>
          </cell>
          <cell r="K11">
            <v>115</v>
          </cell>
          <cell r="L11">
            <v>142</v>
          </cell>
        </row>
        <row r="12">
          <cell r="B12" t="str">
            <v>平成22年度</v>
          </cell>
          <cell r="D12">
            <v>177</v>
          </cell>
          <cell r="E12">
            <v>471</v>
          </cell>
          <cell r="F12">
            <v>69</v>
          </cell>
          <cell r="G12">
            <v>28</v>
          </cell>
          <cell r="H12">
            <v>78</v>
          </cell>
          <cell r="I12">
            <v>87</v>
          </cell>
          <cell r="J12">
            <v>128</v>
          </cell>
          <cell r="K12">
            <v>118</v>
          </cell>
          <cell r="L12">
            <v>153</v>
          </cell>
        </row>
        <row r="13">
          <cell r="B13" t="str">
            <v>平成23年度</v>
          </cell>
          <cell r="D13">
            <v>174</v>
          </cell>
          <cell r="E13">
            <v>459</v>
          </cell>
          <cell r="F13">
            <v>71</v>
          </cell>
          <cell r="G13">
            <v>27</v>
          </cell>
          <cell r="H13">
            <v>73</v>
          </cell>
          <cell r="I13">
            <v>86</v>
          </cell>
          <cell r="J13">
            <v>126</v>
          </cell>
          <cell r="K13">
            <v>119</v>
          </cell>
          <cell r="L13">
            <v>155</v>
          </cell>
        </row>
        <row r="14">
          <cell r="B14" t="str">
            <v>平成24年度</v>
          </cell>
          <cell r="D14">
            <v>169</v>
          </cell>
          <cell r="E14">
            <v>438</v>
          </cell>
          <cell r="F14">
            <v>67</v>
          </cell>
          <cell r="G14">
            <v>25</v>
          </cell>
          <cell r="H14">
            <v>65</v>
          </cell>
          <cell r="I14">
            <v>79</v>
          </cell>
          <cell r="J14">
            <v>148</v>
          </cell>
          <cell r="K14">
            <v>124</v>
          </cell>
          <cell r="L14">
            <v>148</v>
          </cell>
        </row>
        <row r="15">
          <cell r="B15" t="str">
            <v>平成25年度</v>
          </cell>
          <cell r="D15">
            <v>165</v>
          </cell>
          <cell r="E15">
            <v>419</v>
          </cell>
          <cell r="F15">
            <v>72</v>
          </cell>
          <cell r="G15">
            <v>25</v>
          </cell>
          <cell r="H15">
            <v>81</v>
          </cell>
          <cell r="I15">
            <v>74</v>
          </cell>
          <cell r="J15">
            <v>150</v>
          </cell>
          <cell r="K15">
            <v>117</v>
          </cell>
          <cell r="L15">
            <v>152</v>
          </cell>
        </row>
        <row r="16">
          <cell r="B16" t="str">
            <v>平成26年度</v>
          </cell>
          <cell r="D16">
            <v>158</v>
          </cell>
          <cell r="E16">
            <v>398</v>
          </cell>
          <cell r="F16">
            <v>67</v>
          </cell>
          <cell r="G16">
            <v>27</v>
          </cell>
          <cell r="H16">
            <v>84</v>
          </cell>
          <cell r="I16">
            <v>66</v>
          </cell>
          <cell r="J16">
            <v>160</v>
          </cell>
          <cell r="K16">
            <v>113</v>
          </cell>
          <cell r="L16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58"/>
  <sheetViews>
    <sheetView showGridLines="0" tabSelected="1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3.625" style="22" customWidth="1"/>
    <col min="2" max="2" width="10.125" style="22" customWidth="1"/>
    <col min="3" max="3" width="12.625" style="22" customWidth="1"/>
    <col min="4" max="5" width="10.625" style="22" customWidth="1"/>
    <col min="6" max="8" width="11.625" style="22" customWidth="1"/>
    <col min="9" max="16384" width="9.00390625" style="22" customWidth="1"/>
  </cols>
  <sheetData>
    <row r="1" spans="1:8" ht="30" customHeight="1">
      <c r="A1" s="1" t="s">
        <v>21</v>
      </c>
      <c r="B1" s="1"/>
      <c r="C1" s="2"/>
      <c r="D1" s="2"/>
      <c r="E1" s="2"/>
      <c r="F1" s="2"/>
      <c r="G1" s="2"/>
      <c r="H1" s="2"/>
    </row>
    <row r="2" spans="1:8" ht="18" customHeight="1">
      <c r="A2" s="1"/>
      <c r="B2" s="22" t="s">
        <v>27</v>
      </c>
      <c r="C2" s="2"/>
      <c r="D2" s="2"/>
      <c r="E2" s="2"/>
      <c r="F2" s="2"/>
      <c r="G2" s="2"/>
      <c r="H2" s="21" t="s">
        <v>18</v>
      </c>
    </row>
    <row r="3" spans="2:8" s="2" customFormat="1" ht="15" customHeight="1">
      <c r="B3" s="45" t="s">
        <v>1</v>
      </c>
      <c r="C3" s="45" t="s">
        <v>0</v>
      </c>
      <c r="D3" s="47" t="s">
        <v>2</v>
      </c>
      <c r="E3" s="48"/>
      <c r="F3" s="45" t="s">
        <v>3</v>
      </c>
      <c r="G3" s="45" t="s">
        <v>4</v>
      </c>
      <c r="H3" s="43" t="s">
        <v>23</v>
      </c>
    </row>
    <row r="4" spans="2:8" s="2" customFormat="1" ht="15" customHeight="1">
      <c r="B4" s="46"/>
      <c r="C4" s="46"/>
      <c r="D4" s="37" t="s">
        <v>5</v>
      </c>
      <c r="E4" s="38" t="s">
        <v>6</v>
      </c>
      <c r="F4" s="46"/>
      <c r="G4" s="46"/>
      <c r="H4" s="44"/>
    </row>
    <row r="5" spans="2:9" s="2" customFormat="1" ht="15" customHeight="1">
      <c r="B5" s="6" t="s">
        <v>19</v>
      </c>
      <c r="C5" s="7">
        <f aca="true" t="shared" si="0" ref="C5:H5">SUM(C6:C9)</f>
        <v>907.7</v>
      </c>
      <c r="D5" s="10">
        <f t="shared" si="0"/>
        <v>19.7</v>
      </c>
      <c r="E5" s="11">
        <f t="shared" si="0"/>
        <v>887.9</v>
      </c>
      <c r="F5" s="7">
        <f t="shared" si="0"/>
        <v>31.8</v>
      </c>
      <c r="G5" s="7">
        <f t="shared" si="0"/>
        <v>184.7</v>
      </c>
      <c r="H5" s="7">
        <f t="shared" si="0"/>
        <v>691.2</v>
      </c>
      <c r="I5" s="31"/>
    </row>
    <row r="6" spans="2:9" s="2" customFormat="1" ht="15" customHeight="1" hidden="1">
      <c r="B6" s="3" t="s">
        <v>8</v>
      </c>
      <c r="C6" s="8">
        <v>247.9</v>
      </c>
      <c r="D6" s="12">
        <v>6</v>
      </c>
      <c r="E6" s="13">
        <v>241.9</v>
      </c>
      <c r="F6" s="8">
        <v>10.2</v>
      </c>
      <c r="G6" s="8">
        <v>39.5</v>
      </c>
      <c r="H6" s="8">
        <v>198.2</v>
      </c>
      <c r="I6" s="31"/>
    </row>
    <row r="7" spans="2:9" s="2" customFormat="1" ht="15" customHeight="1" hidden="1">
      <c r="B7" s="3" t="s">
        <v>9</v>
      </c>
      <c r="C7" s="8">
        <v>303.7</v>
      </c>
      <c r="D7" s="12">
        <v>3.7</v>
      </c>
      <c r="E7" s="13">
        <v>300</v>
      </c>
      <c r="F7" s="8">
        <v>21.6</v>
      </c>
      <c r="G7" s="8">
        <v>65.7</v>
      </c>
      <c r="H7" s="8">
        <v>216.4</v>
      </c>
      <c r="I7" s="31"/>
    </row>
    <row r="8" spans="2:9" s="2" customFormat="1" ht="15" customHeight="1" hidden="1">
      <c r="B8" s="3" t="s">
        <v>11</v>
      </c>
      <c r="C8" s="8">
        <v>181.6</v>
      </c>
      <c r="D8" s="12">
        <v>5</v>
      </c>
      <c r="E8" s="13">
        <v>176.5</v>
      </c>
      <c r="F8" s="8">
        <v>0</v>
      </c>
      <c r="G8" s="8">
        <v>35.8</v>
      </c>
      <c r="H8" s="8">
        <v>145.8</v>
      </c>
      <c r="I8" s="31"/>
    </row>
    <row r="9" spans="2:9" s="2" customFormat="1" ht="15" customHeight="1" hidden="1">
      <c r="B9" s="4" t="s">
        <v>10</v>
      </c>
      <c r="C9" s="9">
        <v>174.5</v>
      </c>
      <c r="D9" s="14">
        <v>5</v>
      </c>
      <c r="E9" s="15">
        <v>169.5</v>
      </c>
      <c r="F9" s="9">
        <v>0</v>
      </c>
      <c r="G9" s="9">
        <v>43.7</v>
      </c>
      <c r="H9" s="9">
        <v>130.8</v>
      </c>
      <c r="I9" s="31"/>
    </row>
    <row r="10" spans="2:9" s="2" customFormat="1" ht="15" customHeight="1">
      <c r="B10" s="6" t="s">
        <v>20</v>
      </c>
      <c r="C10" s="7">
        <f aca="true" t="shared" si="1" ref="C10:H10">SUM(C11:C14)</f>
        <v>918</v>
      </c>
      <c r="D10" s="10">
        <f t="shared" si="1"/>
        <v>19.1</v>
      </c>
      <c r="E10" s="11">
        <f t="shared" si="1"/>
        <v>899</v>
      </c>
      <c r="F10" s="7">
        <f t="shared" si="1"/>
        <v>31.8</v>
      </c>
      <c r="G10" s="7">
        <f t="shared" si="1"/>
        <v>184.4</v>
      </c>
      <c r="H10" s="7">
        <f t="shared" si="1"/>
        <v>701.8</v>
      </c>
      <c r="I10" s="31"/>
    </row>
    <row r="11" spans="2:9" s="2" customFormat="1" ht="15" customHeight="1" hidden="1">
      <c r="B11" s="3" t="s">
        <v>8</v>
      </c>
      <c r="C11" s="8">
        <v>248.3</v>
      </c>
      <c r="D11" s="12">
        <v>5.9</v>
      </c>
      <c r="E11" s="13">
        <v>242.4</v>
      </c>
      <c r="F11" s="8">
        <v>10.2</v>
      </c>
      <c r="G11" s="8">
        <v>39.5</v>
      </c>
      <c r="H11" s="8">
        <v>198.6</v>
      </c>
      <c r="I11" s="31"/>
    </row>
    <row r="12" spans="2:9" s="2" customFormat="1" ht="15" customHeight="1" hidden="1">
      <c r="B12" s="3" t="s">
        <v>9</v>
      </c>
      <c r="C12" s="8">
        <v>308.7</v>
      </c>
      <c r="D12" s="12">
        <v>3.7</v>
      </c>
      <c r="E12" s="13">
        <v>305</v>
      </c>
      <c r="F12" s="8">
        <v>21.6</v>
      </c>
      <c r="G12" s="8">
        <v>65.7</v>
      </c>
      <c r="H12" s="8">
        <v>221.3</v>
      </c>
      <c r="I12" s="31"/>
    </row>
    <row r="13" spans="2:9" s="2" customFormat="1" ht="15" customHeight="1" hidden="1">
      <c r="B13" s="3" t="s">
        <v>11</v>
      </c>
      <c r="C13" s="8">
        <v>184.3</v>
      </c>
      <c r="D13" s="12">
        <v>4.6</v>
      </c>
      <c r="E13" s="13">
        <v>179.8</v>
      </c>
      <c r="F13" s="8">
        <v>0</v>
      </c>
      <c r="G13" s="8">
        <v>35.8</v>
      </c>
      <c r="H13" s="8">
        <v>148.6</v>
      </c>
      <c r="I13" s="31"/>
    </row>
    <row r="14" spans="2:9" s="2" customFormat="1" ht="15" customHeight="1" hidden="1">
      <c r="B14" s="4" t="s">
        <v>10</v>
      </c>
      <c r="C14" s="9">
        <v>176.7</v>
      </c>
      <c r="D14" s="14">
        <v>4.9</v>
      </c>
      <c r="E14" s="15">
        <v>171.8</v>
      </c>
      <c r="F14" s="9">
        <v>0</v>
      </c>
      <c r="G14" s="9">
        <v>43.4</v>
      </c>
      <c r="H14" s="9">
        <v>133.3</v>
      </c>
      <c r="I14" s="31"/>
    </row>
    <row r="15" spans="2:9" s="2" customFormat="1" ht="15" customHeight="1">
      <c r="B15" s="6" t="s">
        <v>14</v>
      </c>
      <c r="C15" s="7">
        <f aca="true" t="shared" si="2" ref="C15:H15">SUM(C16:C19)</f>
        <v>925.2</v>
      </c>
      <c r="D15" s="10">
        <f t="shared" si="2"/>
        <v>17.400000000000002</v>
      </c>
      <c r="E15" s="11">
        <f t="shared" si="2"/>
        <v>907.8</v>
      </c>
      <c r="F15" s="7">
        <f t="shared" si="2"/>
        <v>31.8</v>
      </c>
      <c r="G15" s="7">
        <f t="shared" si="2"/>
        <v>184.4</v>
      </c>
      <c r="H15" s="7">
        <f t="shared" si="2"/>
        <v>709</v>
      </c>
      <c r="I15" s="31"/>
    </row>
    <row r="16" spans="2:9" s="2" customFormat="1" ht="15" customHeight="1">
      <c r="B16" s="3" t="s">
        <v>8</v>
      </c>
      <c r="C16" s="8">
        <v>248.7</v>
      </c>
      <c r="D16" s="12">
        <v>5.7</v>
      </c>
      <c r="E16" s="13">
        <v>243</v>
      </c>
      <c r="F16" s="8">
        <v>10.2</v>
      </c>
      <c r="G16" s="8">
        <v>39.5</v>
      </c>
      <c r="H16" s="8">
        <v>199</v>
      </c>
      <c r="I16" s="31"/>
    </row>
    <row r="17" spans="2:9" s="2" customFormat="1" ht="15" customHeight="1">
      <c r="B17" s="3" t="s">
        <v>9</v>
      </c>
      <c r="C17" s="8">
        <v>312</v>
      </c>
      <c r="D17" s="12">
        <v>3.7</v>
      </c>
      <c r="E17" s="13">
        <v>308.3</v>
      </c>
      <c r="F17" s="8">
        <v>21.6</v>
      </c>
      <c r="G17" s="8">
        <v>65.7</v>
      </c>
      <c r="H17" s="8">
        <v>224.7</v>
      </c>
      <c r="I17" s="31"/>
    </row>
    <row r="18" spans="2:9" s="2" customFormat="1" ht="15" customHeight="1">
      <c r="B18" s="3" t="s">
        <v>11</v>
      </c>
      <c r="C18" s="8">
        <v>187.1</v>
      </c>
      <c r="D18" s="12">
        <v>4.4</v>
      </c>
      <c r="E18" s="13">
        <v>182.7</v>
      </c>
      <c r="F18" s="8">
        <v>0</v>
      </c>
      <c r="G18" s="8">
        <v>35.8</v>
      </c>
      <c r="H18" s="8">
        <v>151.3</v>
      </c>
      <c r="I18" s="31"/>
    </row>
    <row r="19" spans="2:9" s="2" customFormat="1" ht="15" customHeight="1">
      <c r="B19" s="4" t="s">
        <v>10</v>
      </c>
      <c r="C19" s="9">
        <v>177.4</v>
      </c>
      <c r="D19" s="14">
        <v>3.6</v>
      </c>
      <c r="E19" s="15">
        <v>173.8</v>
      </c>
      <c r="F19" s="9">
        <v>0</v>
      </c>
      <c r="G19" s="9">
        <v>43.4</v>
      </c>
      <c r="H19" s="9">
        <v>134</v>
      </c>
      <c r="I19" s="31"/>
    </row>
    <row r="20" spans="2:9" s="2" customFormat="1" ht="15" customHeight="1">
      <c r="B20" s="6" t="s">
        <v>15</v>
      </c>
      <c r="C20" s="7">
        <f aca="true" t="shared" si="3" ref="C20:H20">SUM(C21:C24)</f>
        <v>938.8</v>
      </c>
      <c r="D20" s="10">
        <f t="shared" si="3"/>
        <v>17.799999999999997</v>
      </c>
      <c r="E20" s="11">
        <f t="shared" si="3"/>
        <v>920.8000000000001</v>
      </c>
      <c r="F20" s="7">
        <f t="shared" si="3"/>
        <v>31.8</v>
      </c>
      <c r="G20" s="7">
        <f t="shared" si="3"/>
        <v>184.4</v>
      </c>
      <c r="H20" s="7">
        <f t="shared" si="3"/>
        <v>722.5</v>
      </c>
      <c r="I20" s="31"/>
    </row>
    <row r="21" spans="2:9" s="2" customFormat="1" ht="15" customHeight="1">
      <c r="B21" s="3" t="s">
        <v>8</v>
      </c>
      <c r="C21" s="8">
        <v>253</v>
      </c>
      <c r="D21" s="12">
        <v>5.8</v>
      </c>
      <c r="E21" s="13">
        <v>247.1</v>
      </c>
      <c r="F21" s="8">
        <v>10.2</v>
      </c>
      <c r="G21" s="8">
        <v>39.5</v>
      </c>
      <c r="H21" s="8">
        <v>203.3</v>
      </c>
      <c r="I21" s="31"/>
    </row>
    <row r="22" spans="2:9" s="2" customFormat="1" ht="15" customHeight="1">
      <c r="B22" s="3" t="s">
        <v>9</v>
      </c>
      <c r="C22" s="8">
        <v>312</v>
      </c>
      <c r="D22" s="12">
        <v>3.7</v>
      </c>
      <c r="E22" s="13">
        <v>308.3</v>
      </c>
      <c r="F22" s="8">
        <v>21.6</v>
      </c>
      <c r="G22" s="8">
        <v>65.7</v>
      </c>
      <c r="H22" s="8">
        <v>224.7</v>
      </c>
      <c r="I22" s="31"/>
    </row>
    <row r="23" spans="2:9" s="2" customFormat="1" ht="15" customHeight="1">
      <c r="B23" s="3" t="s">
        <v>11</v>
      </c>
      <c r="C23" s="8">
        <v>193.6</v>
      </c>
      <c r="D23" s="12">
        <v>4.2</v>
      </c>
      <c r="E23" s="13">
        <v>189.3</v>
      </c>
      <c r="F23" s="29">
        <v>0</v>
      </c>
      <c r="G23" s="8">
        <v>35.8</v>
      </c>
      <c r="H23" s="8">
        <v>157.8</v>
      </c>
      <c r="I23" s="31"/>
    </row>
    <row r="24" spans="2:9" s="2" customFormat="1" ht="15" customHeight="1">
      <c r="B24" s="4" t="s">
        <v>10</v>
      </c>
      <c r="C24" s="9">
        <v>180.2</v>
      </c>
      <c r="D24" s="14">
        <v>4.1</v>
      </c>
      <c r="E24" s="15">
        <v>176.1</v>
      </c>
      <c r="F24" s="30">
        <v>0</v>
      </c>
      <c r="G24" s="9">
        <v>43.4</v>
      </c>
      <c r="H24" s="9">
        <v>136.7</v>
      </c>
      <c r="I24" s="31"/>
    </row>
    <row r="25" spans="2:9" s="2" customFormat="1" ht="15" customHeight="1">
      <c r="B25" s="6" t="s">
        <v>16</v>
      </c>
      <c r="C25" s="7">
        <f aca="true" t="shared" si="4" ref="C25:H25">SUM(C26:C29)</f>
        <v>939.9</v>
      </c>
      <c r="D25" s="10">
        <f t="shared" si="4"/>
        <v>18.199999999999996</v>
      </c>
      <c r="E25" s="11">
        <f t="shared" si="4"/>
        <v>921.6999999999999</v>
      </c>
      <c r="F25" s="7">
        <f t="shared" si="4"/>
        <v>31.8</v>
      </c>
      <c r="G25" s="7">
        <f t="shared" si="4"/>
        <v>184.4</v>
      </c>
      <c r="H25" s="7">
        <f t="shared" si="4"/>
        <v>723.7</v>
      </c>
      <c r="I25" s="31"/>
    </row>
    <row r="26" spans="2:9" s="2" customFormat="1" ht="15" customHeight="1">
      <c r="B26" s="3" t="s">
        <v>8</v>
      </c>
      <c r="C26" s="8">
        <v>253.6</v>
      </c>
      <c r="D26" s="12">
        <v>5.8</v>
      </c>
      <c r="E26" s="13">
        <v>247.7</v>
      </c>
      <c r="F26" s="8">
        <v>10.2</v>
      </c>
      <c r="G26" s="8">
        <v>39.5</v>
      </c>
      <c r="H26" s="8">
        <v>203.9</v>
      </c>
      <c r="I26" s="31"/>
    </row>
    <row r="27" spans="2:9" s="2" customFormat="1" ht="15" customHeight="1">
      <c r="B27" s="3" t="s">
        <v>9</v>
      </c>
      <c r="C27" s="8">
        <v>311.9</v>
      </c>
      <c r="D27" s="12">
        <v>4.1</v>
      </c>
      <c r="E27" s="13">
        <v>307.9</v>
      </c>
      <c r="F27" s="8">
        <v>21.6</v>
      </c>
      <c r="G27" s="8">
        <v>65.7</v>
      </c>
      <c r="H27" s="8">
        <v>224.6</v>
      </c>
      <c r="I27" s="31"/>
    </row>
    <row r="28" spans="2:9" s="2" customFormat="1" ht="15" customHeight="1">
      <c r="B28" s="3" t="s">
        <v>11</v>
      </c>
      <c r="C28" s="8">
        <v>193.9</v>
      </c>
      <c r="D28" s="12">
        <v>4.2</v>
      </c>
      <c r="E28" s="13">
        <v>189.7</v>
      </c>
      <c r="F28" s="29">
        <v>0</v>
      </c>
      <c r="G28" s="8">
        <v>35.8</v>
      </c>
      <c r="H28" s="8">
        <v>158.2</v>
      </c>
      <c r="I28" s="31"/>
    </row>
    <row r="29" spans="2:9" s="2" customFormat="1" ht="15" customHeight="1">
      <c r="B29" s="4" t="s">
        <v>10</v>
      </c>
      <c r="C29" s="9">
        <v>180.5</v>
      </c>
      <c r="D29" s="14">
        <v>4.1</v>
      </c>
      <c r="E29" s="15">
        <v>176.4</v>
      </c>
      <c r="F29" s="30">
        <v>0</v>
      </c>
      <c r="G29" s="9">
        <v>43.4</v>
      </c>
      <c r="H29" s="9">
        <v>137</v>
      </c>
      <c r="I29" s="31"/>
    </row>
    <row r="30" spans="2:9" s="2" customFormat="1" ht="15" customHeight="1">
      <c r="B30" s="6" t="s">
        <v>12</v>
      </c>
      <c r="C30" s="7">
        <f aca="true" t="shared" si="5" ref="C30:H30">SUM(C31:C34)</f>
        <v>945.3000000000001</v>
      </c>
      <c r="D30" s="10">
        <f t="shared" si="5"/>
        <v>18.799999999999997</v>
      </c>
      <c r="E30" s="11">
        <f t="shared" si="5"/>
        <v>926.5</v>
      </c>
      <c r="F30" s="7">
        <f t="shared" si="5"/>
        <v>31.8</v>
      </c>
      <c r="G30" s="7">
        <f t="shared" si="5"/>
        <v>184.4</v>
      </c>
      <c r="H30" s="7">
        <f t="shared" si="5"/>
        <v>729.1</v>
      </c>
      <c r="I30" s="31"/>
    </row>
    <row r="31" spans="2:9" s="2" customFormat="1" ht="15" customHeight="1">
      <c r="B31" s="3" t="s">
        <v>8</v>
      </c>
      <c r="C31" s="8">
        <v>253.4</v>
      </c>
      <c r="D31" s="12">
        <v>5.8</v>
      </c>
      <c r="E31" s="13">
        <v>247.6</v>
      </c>
      <c r="F31" s="8">
        <v>10.2</v>
      </c>
      <c r="G31" s="8">
        <v>39.5</v>
      </c>
      <c r="H31" s="8">
        <v>203.7</v>
      </c>
      <c r="I31" s="31"/>
    </row>
    <row r="32" spans="2:9" s="2" customFormat="1" ht="15" customHeight="1">
      <c r="B32" s="3" t="s">
        <v>9</v>
      </c>
      <c r="C32" s="8">
        <v>313.8</v>
      </c>
      <c r="D32" s="12">
        <v>4.1</v>
      </c>
      <c r="E32" s="13">
        <v>309.7</v>
      </c>
      <c r="F32" s="8">
        <v>21.6</v>
      </c>
      <c r="G32" s="8">
        <v>65.7</v>
      </c>
      <c r="H32" s="8">
        <v>226.5</v>
      </c>
      <c r="I32" s="31"/>
    </row>
    <row r="33" spans="2:9" s="2" customFormat="1" ht="15" customHeight="1">
      <c r="B33" s="3" t="s">
        <v>11</v>
      </c>
      <c r="C33" s="8">
        <v>194.6</v>
      </c>
      <c r="D33" s="12">
        <v>4.2</v>
      </c>
      <c r="E33" s="13">
        <v>190.4</v>
      </c>
      <c r="F33" s="27">
        <v>0</v>
      </c>
      <c r="G33" s="8">
        <v>35.8</v>
      </c>
      <c r="H33" s="8">
        <v>158.8</v>
      </c>
      <c r="I33" s="31"/>
    </row>
    <row r="34" spans="2:9" s="2" customFormat="1" ht="15" customHeight="1">
      <c r="B34" s="4" t="s">
        <v>10</v>
      </c>
      <c r="C34" s="9">
        <v>183.5</v>
      </c>
      <c r="D34" s="14">
        <v>4.7</v>
      </c>
      <c r="E34" s="15">
        <v>178.8</v>
      </c>
      <c r="F34" s="28">
        <v>0</v>
      </c>
      <c r="G34" s="9">
        <v>43.4</v>
      </c>
      <c r="H34" s="9">
        <v>140.1</v>
      </c>
      <c r="I34" s="31"/>
    </row>
    <row r="35" spans="2:9" s="2" customFormat="1" ht="15" customHeight="1">
      <c r="B35" s="6" t="s">
        <v>13</v>
      </c>
      <c r="C35" s="7">
        <f aca="true" t="shared" si="6" ref="C35:H35">SUM(C36:C39)</f>
        <v>952.4000000000001</v>
      </c>
      <c r="D35" s="10">
        <f t="shared" si="6"/>
        <v>18.5</v>
      </c>
      <c r="E35" s="11">
        <f t="shared" si="6"/>
        <v>934</v>
      </c>
      <c r="F35" s="7">
        <f t="shared" si="6"/>
        <v>31.8</v>
      </c>
      <c r="G35" s="7">
        <f t="shared" si="6"/>
        <v>185.29999999999998</v>
      </c>
      <c r="H35" s="7">
        <f t="shared" si="6"/>
        <v>735.4</v>
      </c>
      <c r="I35" s="31"/>
    </row>
    <row r="36" spans="2:9" s="2" customFormat="1" ht="15" customHeight="1">
      <c r="B36" s="3" t="s">
        <v>8</v>
      </c>
      <c r="C36" s="24">
        <v>255.4</v>
      </c>
      <c r="D36" s="33">
        <v>5.7</v>
      </c>
      <c r="E36" s="36">
        <v>249.8</v>
      </c>
      <c r="F36" s="25">
        <v>10.2</v>
      </c>
      <c r="G36" s="25">
        <v>39.5</v>
      </c>
      <c r="H36" s="25">
        <v>205.8</v>
      </c>
      <c r="I36" s="31"/>
    </row>
    <row r="37" spans="2:9" s="2" customFormat="1" ht="15" customHeight="1">
      <c r="B37" s="3" t="s">
        <v>9</v>
      </c>
      <c r="C37" s="24">
        <v>317.1</v>
      </c>
      <c r="D37" s="33">
        <v>4.1</v>
      </c>
      <c r="E37" s="36">
        <v>313</v>
      </c>
      <c r="F37" s="25">
        <v>21.6</v>
      </c>
      <c r="G37" s="25">
        <v>66.6</v>
      </c>
      <c r="H37" s="25">
        <v>228.9</v>
      </c>
      <c r="I37" s="31"/>
    </row>
    <row r="38" spans="2:9" s="2" customFormat="1" ht="15" customHeight="1">
      <c r="B38" s="3" t="s">
        <v>11</v>
      </c>
      <c r="C38" s="24">
        <v>194.6</v>
      </c>
      <c r="D38" s="33">
        <v>4.2</v>
      </c>
      <c r="E38" s="36">
        <v>190.4</v>
      </c>
      <c r="F38" s="26" t="s">
        <v>22</v>
      </c>
      <c r="G38" s="25">
        <v>35.8</v>
      </c>
      <c r="H38" s="25">
        <v>158.8</v>
      </c>
      <c r="I38" s="31"/>
    </row>
    <row r="39" spans="2:9" s="2" customFormat="1" ht="15" customHeight="1">
      <c r="B39" s="4" t="s">
        <v>10</v>
      </c>
      <c r="C39" s="24">
        <v>185.3</v>
      </c>
      <c r="D39" s="33">
        <v>4.5</v>
      </c>
      <c r="E39" s="36">
        <v>180.8</v>
      </c>
      <c r="F39" s="26" t="s">
        <v>22</v>
      </c>
      <c r="G39" s="25">
        <v>43.4</v>
      </c>
      <c r="H39" s="25">
        <v>141.9</v>
      </c>
      <c r="I39" s="31"/>
    </row>
    <row r="40" spans="2:10" s="5" customFormat="1" ht="15" customHeight="1">
      <c r="B40" s="6" t="s">
        <v>7</v>
      </c>
      <c r="C40" s="7">
        <f aca="true" t="shared" si="7" ref="C40:H40">SUM(C41:C44)</f>
        <v>959.2</v>
      </c>
      <c r="D40" s="34">
        <f t="shared" si="7"/>
        <v>18.4</v>
      </c>
      <c r="E40" s="11">
        <f t="shared" si="7"/>
        <v>941</v>
      </c>
      <c r="F40" s="7">
        <f t="shared" si="7"/>
        <v>33.599999999999994</v>
      </c>
      <c r="G40" s="7">
        <f t="shared" si="7"/>
        <v>185.29999999999998</v>
      </c>
      <c r="H40" s="7">
        <f t="shared" si="7"/>
        <v>740.4000000000001</v>
      </c>
      <c r="I40" s="31"/>
      <c r="J40" s="2"/>
    </row>
    <row r="41" spans="2:10" ht="15" customHeight="1">
      <c r="B41" s="3" t="s">
        <v>8</v>
      </c>
      <c r="C41" s="8">
        <v>255.4</v>
      </c>
      <c r="D41" s="35">
        <v>5.7</v>
      </c>
      <c r="E41" s="13">
        <v>249.8</v>
      </c>
      <c r="F41" s="8">
        <v>10.2</v>
      </c>
      <c r="G41" s="8">
        <v>39.5</v>
      </c>
      <c r="H41" s="8">
        <v>205.8</v>
      </c>
      <c r="I41" s="31"/>
      <c r="J41" s="2"/>
    </row>
    <row r="42" spans="2:10" ht="15" customHeight="1">
      <c r="B42" s="3" t="s">
        <v>9</v>
      </c>
      <c r="C42" s="8">
        <v>322</v>
      </c>
      <c r="D42" s="12">
        <v>4.1</v>
      </c>
      <c r="E42" s="13">
        <v>318</v>
      </c>
      <c r="F42" s="8">
        <v>23.4</v>
      </c>
      <c r="G42" s="8">
        <v>66.6</v>
      </c>
      <c r="H42" s="8">
        <v>232</v>
      </c>
      <c r="I42" s="31"/>
      <c r="J42" s="2"/>
    </row>
    <row r="43" spans="2:10" ht="15" customHeight="1">
      <c r="B43" s="3" t="s">
        <v>11</v>
      </c>
      <c r="C43" s="8">
        <v>195.6</v>
      </c>
      <c r="D43" s="12">
        <v>4</v>
      </c>
      <c r="E43" s="13">
        <v>191.6</v>
      </c>
      <c r="F43" s="23" t="s">
        <v>22</v>
      </c>
      <c r="G43" s="8">
        <v>35.8</v>
      </c>
      <c r="H43" s="8">
        <v>159.8</v>
      </c>
      <c r="I43" s="31"/>
      <c r="J43" s="2"/>
    </row>
    <row r="44" spans="2:10" ht="15" customHeight="1">
      <c r="B44" s="4" t="s">
        <v>10</v>
      </c>
      <c r="C44" s="9">
        <v>186.2</v>
      </c>
      <c r="D44" s="14">
        <v>4.6</v>
      </c>
      <c r="E44" s="15">
        <v>181.6</v>
      </c>
      <c r="F44" s="23" t="s">
        <v>22</v>
      </c>
      <c r="G44" s="9">
        <v>43.4</v>
      </c>
      <c r="H44" s="9">
        <v>142.8</v>
      </c>
      <c r="I44" s="31"/>
      <c r="J44" s="2"/>
    </row>
    <row r="45" spans="2:8" s="16" customFormat="1" ht="18" customHeight="1">
      <c r="B45" s="17" t="s">
        <v>17</v>
      </c>
      <c r="C45" s="18">
        <v>964.6</v>
      </c>
      <c r="D45" s="19">
        <v>18.4</v>
      </c>
      <c r="E45" s="20">
        <v>946.2</v>
      </c>
      <c r="F45" s="18">
        <v>33.6</v>
      </c>
      <c r="G45" s="18">
        <v>185.3</v>
      </c>
      <c r="H45" s="18">
        <v>745.7</v>
      </c>
    </row>
    <row r="46" spans="2:8" s="16" customFormat="1" ht="18" customHeight="1">
      <c r="B46" s="17" t="s">
        <v>24</v>
      </c>
      <c r="C46" s="18">
        <v>969.7</v>
      </c>
      <c r="D46" s="19">
        <v>18.4</v>
      </c>
      <c r="E46" s="20">
        <v>951.3</v>
      </c>
      <c r="F46" s="18">
        <v>33.6</v>
      </c>
      <c r="G46" s="18">
        <v>185.3</v>
      </c>
      <c r="H46" s="18">
        <v>750.8</v>
      </c>
    </row>
    <row r="47" spans="2:8" s="16" customFormat="1" ht="18" customHeight="1">
      <c r="B47" s="17" t="s">
        <v>25</v>
      </c>
      <c r="C47" s="19">
        <v>986.5</v>
      </c>
      <c r="D47" s="19">
        <v>18.4</v>
      </c>
      <c r="E47" s="20">
        <v>968.1</v>
      </c>
      <c r="F47" s="18">
        <v>33.7</v>
      </c>
      <c r="G47" s="18">
        <v>201.9</v>
      </c>
      <c r="H47" s="18">
        <v>750.9</v>
      </c>
    </row>
    <row r="48" spans="2:10" s="5" customFormat="1" ht="18" customHeight="1">
      <c r="B48" s="17" t="s">
        <v>26</v>
      </c>
      <c r="C48" s="39">
        <v>1014.6</v>
      </c>
      <c r="D48" s="40">
        <v>10.3</v>
      </c>
      <c r="E48" s="41">
        <v>1004.3</v>
      </c>
      <c r="F48" s="39">
        <v>33.7</v>
      </c>
      <c r="G48" s="39">
        <v>201.9</v>
      </c>
      <c r="H48" s="39">
        <v>779</v>
      </c>
      <c r="I48" s="31"/>
      <c r="J48" s="2"/>
    </row>
    <row r="49" spans="2:10" s="5" customFormat="1" ht="18" customHeight="1">
      <c r="B49" s="17" t="s">
        <v>29</v>
      </c>
      <c r="C49" s="39">
        <v>1018.1</v>
      </c>
      <c r="D49" s="40">
        <v>7.9</v>
      </c>
      <c r="E49" s="41">
        <v>1010.2</v>
      </c>
      <c r="F49" s="39">
        <v>33.7</v>
      </c>
      <c r="G49" s="39">
        <v>201.9</v>
      </c>
      <c r="H49" s="39">
        <v>782.5</v>
      </c>
      <c r="I49" s="31"/>
      <c r="J49" s="2"/>
    </row>
    <row r="50" spans="2:10" s="5" customFormat="1" ht="18" customHeight="1">
      <c r="B50" s="17" t="s">
        <v>30</v>
      </c>
      <c r="C50" s="39">
        <v>1021.5</v>
      </c>
      <c r="D50" s="40">
        <v>10.3</v>
      </c>
      <c r="E50" s="41">
        <v>1011.2</v>
      </c>
      <c r="F50" s="39">
        <v>33.7</v>
      </c>
      <c r="G50" s="39">
        <v>201.9</v>
      </c>
      <c r="H50" s="39">
        <v>785.9</v>
      </c>
      <c r="I50" s="31"/>
      <c r="J50" s="2"/>
    </row>
    <row r="51" spans="2:10" s="5" customFormat="1" ht="18" customHeight="1">
      <c r="B51" s="17" t="s">
        <v>32</v>
      </c>
      <c r="C51" s="39">
        <v>1035.4</v>
      </c>
      <c r="D51" s="40">
        <v>7.1</v>
      </c>
      <c r="E51" s="41">
        <v>1028.3</v>
      </c>
      <c r="F51" s="39">
        <v>33.7</v>
      </c>
      <c r="G51" s="39">
        <v>201.9</v>
      </c>
      <c r="H51" s="39">
        <v>799.8</v>
      </c>
      <c r="I51" s="31"/>
      <c r="J51" s="2"/>
    </row>
    <row r="52" spans="2:10" s="5" customFormat="1" ht="18" customHeight="1">
      <c r="B52" s="17" t="s">
        <v>33</v>
      </c>
      <c r="C52" s="39">
        <v>1001.7</v>
      </c>
      <c r="D52" s="40">
        <v>8</v>
      </c>
      <c r="E52" s="41">
        <v>960</v>
      </c>
      <c r="F52" s="39">
        <v>33.7</v>
      </c>
      <c r="G52" s="39">
        <v>183.6</v>
      </c>
      <c r="H52" s="39">
        <v>794</v>
      </c>
      <c r="I52" s="31"/>
      <c r="J52" s="2"/>
    </row>
    <row r="53" spans="2:10" s="5" customFormat="1" ht="18" customHeight="1">
      <c r="B53" s="17" t="s">
        <v>34</v>
      </c>
      <c r="C53" s="39">
        <v>1003.2</v>
      </c>
      <c r="D53" s="40">
        <v>7.5</v>
      </c>
      <c r="E53" s="41">
        <v>995.7</v>
      </c>
      <c r="F53" s="39">
        <v>33.7</v>
      </c>
      <c r="G53" s="39">
        <v>183.6</v>
      </c>
      <c r="H53" s="39">
        <v>785.9</v>
      </c>
      <c r="I53" s="31"/>
      <c r="J53" s="2"/>
    </row>
    <row r="54" spans="2:10" s="5" customFormat="1" ht="18" customHeight="1">
      <c r="B54" s="17" t="s">
        <v>35</v>
      </c>
      <c r="C54" s="39">
        <v>1004.1</v>
      </c>
      <c r="D54" s="40">
        <v>7.4</v>
      </c>
      <c r="E54" s="41">
        <v>996.7</v>
      </c>
      <c r="F54" s="39">
        <v>33.7</v>
      </c>
      <c r="G54" s="39">
        <v>183.6</v>
      </c>
      <c r="H54" s="39">
        <v>786.8</v>
      </c>
      <c r="I54" s="31"/>
      <c r="J54" s="2"/>
    </row>
    <row r="55" spans="2:8" ht="15" customHeight="1">
      <c r="B55" s="2" t="s">
        <v>36</v>
      </c>
      <c r="C55" s="2"/>
      <c r="D55" s="2"/>
      <c r="E55" s="2"/>
      <c r="F55" s="2"/>
      <c r="G55" s="2"/>
      <c r="H55" s="32" t="s">
        <v>31</v>
      </c>
    </row>
    <row r="56" spans="3:8" ht="13.5">
      <c r="C56" s="2"/>
      <c r="D56" s="2"/>
      <c r="E56" s="2"/>
      <c r="F56" s="2"/>
      <c r="G56" s="2"/>
      <c r="H56" s="32" t="s">
        <v>28</v>
      </c>
    </row>
    <row r="57" spans="2:8" ht="13.5">
      <c r="B57" s="2"/>
      <c r="C57" s="2"/>
      <c r="D57" s="2"/>
      <c r="E57" s="2"/>
      <c r="F57" s="2"/>
      <c r="G57" s="2"/>
      <c r="H57" s="2"/>
    </row>
    <row r="58" spans="2:8" ht="13.5">
      <c r="B58" s="2"/>
      <c r="C58" s="2"/>
      <c r="D58" s="2"/>
      <c r="E58" s="2"/>
      <c r="F58" s="2"/>
      <c r="G58" s="2"/>
      <c r="H58" s="2"/>
    </row>
  </sheetData>
  <sheetProtection/>
  <mergeCells count="6">
    <mergeCell ref="H3:H4"/>
    <mergeCell ref="F3:F4"/>
    <mergeCell ref="G3:G4"/>
    <mergeCell ref="B3:B4"/>
    <mergeCell ref="D3:E3"/>
    <mergeCell ref="C3:C4"/>
  </mergeCells>
  <printOptions/>
  <pageMargins left="0.5905511811023623" right="0.5905511811023623" top="0.7874015748031497" bottom="0.3937007874015748" header="0.3937007874015748" footer="0.3937007874015748"/>
  <pageSetup fitToHeight="1" fitToWidth="1" horizontalDpi="600" verticalDpi="600" orientation="portrait" paperSize="9" r:id="rId1"/>
  <headerFooter alignWithMargins="0">
    <oddHeader>&amp;R15.交通・通信</oddHeader>
    <oddFooter>&amp;C-100-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W23"/>
  <sheetViews>
    <sheetView showGridLines="0" workbookViewId="0" topLeftCell="A1">
      <selection activeCell="B3" sqref="B3:B5"/>
    </sheetView>
  </sheetViews>
  <sheetFormatPr defaultColWidth="9.00390625" defaultRowHeight="13.5"/>
  <cols>
    <col min="1" max="1" width="3.625" style="454" customWidth="1"/>
    <col min="2" max="4" width="7.625" style="540" customWidth="1"/>
    <col min="5" max="5" width="6.625" style="540" customWidth="1"/>
    <col min="6" max="6" width="6.875" style="540" customWidth="1"/>
    <col min="7" max="7" width="4.875" style="541" customWidth="1"/>
    <col min="8" max="8" width="4.125" style="542" customWidth="1"/>
    <col min="9" max="9" width="4.125" style="543" customWidth="1"/>
    <col min="10" max="11" width="5.625" style="544" customWidth="1"/>
    <col min="12" max="12" width="3.625" style="545" customWidth="1"/>
    <col min="13" max="13" width="3.625" style="456" customWidth="1"/>
    <col min="14" max="14" width="3.625" style="546" customWidth="1"/>
    <col min="15" max="15" width="3.625" style="456" customWidth="1"/>
    <col min="16" max="16" width="3.875" style="547" customWidth="1"/>
    <col min="17" max="17" width="3.625" style="547" customWidth="1"/>
    <col min="18" max="18" width="5.875" style="546" customWidth="1"/>
    <col min="19" max="16384" width="9.00390625" style="454" customWidth="1"/>
  </cols>
  <sheetData>
    <row r="1" spans="1:18" ht="30" customHeight="1">
      <c r="A1" s="453" t="s">
        <v>341</v>
      </c>
      <c r="B1" s="454"/>
      <c r="C1" s="455"/>
      <c r="D1" s="455"/>
      <c r="E1" s="455"/>
      <c r="F1" s="455"/>
      <c r="G1" s="455"/>
      <c r="H1" s="455"/>
      <c r="I1" s="455"/>
      <c r="J1" s="455"/>
      <c r="K1" s="455"/>
      <c r="L1" s="456"/>
      <c r="M1" s="455"/>
      <c r="N1" s="455"/>
      <c r="O1" s="455"/>
      <c r="P1" s="455"/>
      <c r="Q1" s="455"/>
      <c r="R1" s="455"/>
    </row>
    <row r="2" spans="2:18" s="457" customFormat="1" ht="18" customHeight="1">
      <c r="B2" s="458" t="s">
        <v>342</v>
      </c>
      <c r="C2" s="459"/>
      <c r="D2" s="459"/>
      <c r="E2" s="459"/>
      <c r="F2" s="459"/>
      <c r="G2" s="459"/>
      <c r="H2" s="459"/>
      <c r="I2" s="459"/>
      <c r="J2" s="459"/>
      <c r="K2" s="459"/>
      <c r="L2" s="460"/>
      <c r="M2" s="459"/>
      <c r="N2" s="459"/>
      <c r="O2" s="459"/>
      <c r="P2" s="459"/>
      <c r="Q2" s="459"/>
      <c r="R2" s="459"/>
    </row>
    <row r="3" spans="2:19" ht="13.5" customHeight="1">
      <c r="B3" s="461" t="s">
        <v>343</v>
      </c>
      <c r="C3" s="462" t="s">
        <v>344</v>
      </c>
      <c r="D3" s="463"/>
      <c r="E3" s="464" t="s">
        <v>345</v>
      </c>
      <c r="F3" s="461" t="s">
        <v>346</v>
      </c>
      <c r="G3" s="465" t="s">
        <v>347</v>
      </c>
      <c r="H3" s="466" t="s">
        <v>348</v>
      </c>
      <c r="I3" s="467" t="s">
        <v>349</v>
      </c>
      <c r="J3" s="468" t="s">
        <v>350</v>
      </c>
      <c r="K3" s="468"/>
      <c r="L3" s="468" t="s">
        <v>351</v>
      </c>
      <c r="M3" s="468"/>
      <c r="N3" s="468"/>
      <c r="O3" s="468" t="s">
        <v>352</v>
      </c>
      <c r="P3" s="468"/>
      <c r="Q3" s="468"/>
      <c r="R3" s="469" t="s">
        <v>353</v>
      </c>
      <c r="S3" s="470"/>
    </row>
    <row r="4" spans="2:19" ht="11.25" customHeight="1">
      <c r="B4" s="471"/>
      <c r="C4" s="472"/>
      <c r="D4" s="473"/>
      <c r="E4" s="474"/>
      <c r="F4" s="471"/>
      <c r="G4" s="475"/>
      <c r="H4" s="476"/>
      <c r="I4" s="467"/>
      <c r="J4" s="477" t="s">
        <v>354</v>
      </c>
      <c r="K4" s="477" t="s">
        <v>355</v>
      </c>
      <c r="L4" s="478" t="s">
        <v>356</v>
      </c>
      <c r="M4" s="478" t="s">
        <v>357</v>
      </c>
      <c r="N4" s="469" t="s">
        <v>358</v>
      </c>
      <c r="O4" s="479" t="s">
        <v>359</v>
      </c>
      <c r="P4" s="480"/>
      <c r="Q4" s="478" t="s">
        <v>360</v>
      </c>
      <c r="R4" s="469"/>
      <c r="S4" s="470"/>
    </row>
    <row r="5" spans="2:75" ht="11.25">
      <c r="B5" s="481"/>
      <c r="C5" s="482"/>
      <c r="D5" s="483"/>
      <c r="E5" s="484"/>
      <c r="F5" s="481"/>
      <c r="G5" s="485"/>
      <c r="H5" s="486"/>
      <c r="I5" s="467"/>
      <c r="J5" s="487" t="s">
        <v>361</v>
      </c>
      <c r="K5" s="488" t="s">
        <v>362</v>
      </c>
      <c r="L5" s="489"/>
      <c r="M5" s="489"/>
      <c r="N5" s="469"/>
      <c r="O5" s="490"/>
      <c r="P5" s="491"/>
      <c r="Q5" s="489"/>
      <c r="R5" s="469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0"/>
      <c r="BP5" s="470"/>
      <c r="BQ5" s="470"/>
      <c r="BR5" s="470"/>
      <c r="BS5" s="470"/>
      <c r="BT5" s="470"/>
      <c r="BU5" s="470"/>
      <c r="BV5" s="470"/>
      <c r="BW5" s="470"/>
    </row>
    <row r="6" spans="2:18" ht="13.5" customHeight="1">
      <c r="B6" s="492"/>
      <c r="C6" s="493"/>
      <c r="D6" s="494"/>
      <c r="E6" s="492"/>
      <c r="F6" s="494"/>
      <c r="G6" s="495" t="s">
        <v>363</v>
      </c>
      <c r="H6" s="496" t="s">
        <v>364</v>
      </c>
      <c r="I6" s="497"/>
      <c r="J6" s="498" t="s">
        <v>365</v>
      </c>
      <c r="K6" s="498" t="s">
        <v>365</v>
      </c>
      <c r="L6" s="499"/>
      <c r="M6" s="500"/>
      <c r="N6" s="501"/>
      <c r="O6" s="502"/>
      <c r="P6" s="503"/>
      <c r="Q6" s="504" t="s">
        <v>366</v>
      </c>
      <c r="R6" s="501"/>
    </row>
    <row r="7" spans="2:18" ht="17.25" customHeight="1">
      <c r="B7" s="505" t="s">
        <v>367</v>
      </c>
      <c r="C7" s="506" t="s">
        <v>368</v>
      </c>
      <c r="D7" s="507"/>
      <c r="E7" s="505" t="s">
        <v>369</v>
      </c>
      <c r="F7" s="508" t="s">
        <v>370</v>
      </c>
      <c r="G7" s="509">
        <v>63</v>
      </c>
      <c r="H7" s="510" t="s">
        <v>371</v>
      </c>
      <c r="I7" s="511" t="s">
        <v>372</v>
      </c>
      <c r="J7" s="512" t="s">
        <v>373</v>
      </c>
      <c r="K7" s="512" t="s">
        <v>374</v>
      </c>
      <c r="L7" s="513" t="s">
        <v>375</v>
      </c>
      <c r="M7" s="514" t="s">
        <v>376</v>
      </c>
      <c r="N7" s="515" t="s">
        <v>376</v>
      </c>
      <c r="O7" s="456" t="s">
        <v>377</v>
      </c>
      <c r="P7" s="516"/>
      <c r="Q7" s="517" t="s">
        <v>221</v>
      </c>
      <c r="R7" s="515" t="s">
        <v>378</v>
      </c>
    </row>
    <row r="8" spans="2:18" ht="15" customHeight="1">
      <c r="B8" s="505" t="s">
        <v>379</v>
      </c>
      <c r="C8" s="518" t="s">
        <v>380</v>
      </c>
      <c r="D8" s="519" t="s">
        <v>381</v>
      </c>
      <c r="E8" s="505" t="s">
        <v>382</v>
      </c>
      <c r="F8" s="520" t="s">
        <v>383</v>
      </c>
      <c r="G8" s="509"/>
      <c r="H8" s="510"/>
      <c r="I8" s="511"/>
      <c r="J8" s="512"/>
      <c r="K8" s="512"/>
      <c r="L8" s="513" t="s">
        <v>384</v>
      </c>
      <c r="M8" s="514"/>
      <c r="N8" s="515"/>
      <c r="O8" s="521"/>
      <c r="P8" s="516"/>
      <c r="Q8" s="517"/>
      <c r="R8" s="515"/>
    </row>
    <row r="9" spans="2:18" ht="15" customHeight="1">
      <c r="B9" s="505"/>
      <c r="C9" s="518"/>
      <c r="D9" s="508"/>
      <c r="E9" s="505"/>
      <c r="F9" s="508"/>
      <c r="G9" s="509"/>
      <c r="H9" s="510"/>
      <c r="I9" s="511"/>
      <c r="J9" s="512"/>
      <c r="K9" s="512"/>
      <c r="L9" s="514"/>
      <c r="M9" s="514"/>
      <c r="N9" s="515"/>
      <c r="O9" s="521"/>
      <c r="P9" s="516"/>
      <c r="Q9" s="517"/>
      <c r="R9" s="515"/>
    </row>
    <row r="10" spans="2:18" ht="15" customHeight="1">
      <c r="B10" s="505" t="s">
        <v>385</v>
      </c>
      <c r="C10" s="506" t="s">
        <v>368</v>
      </c>
      <c r="D10" s="507"/>
      <c r="E10" s="505" t="s">
        <v>386</v>
      </c>
      <c r="F10" s="508" t="s">
        <v>387</v>
      </c>
      <c r="G10" s="509">
        <v>110</v>
      </c>
      <c r="H10" s="510" t="s">
        <v>388</v>
      </c>
      <c r="I10" s="511" t="s">
        <v>372</v>
      </c>
      <c r="J10" s="512" t="s">
        <v>389</v>
      </c>
      <c r="K10" s="512" t="s">
        <v>390</v>
      </c>
      <c r="L10" s="513" t="s">
        <v>375</v>
      </c>
      <c r="M10" s="514" t="s">
        <v>376</v>
      </c>
      <c r="N10" s="515" t="s">
        <v>376</v>
      </c>
      <c r="O10" s="456" t="s">
        <v>391</v>
      </c>
      <c r="P10" s="516"/>
      <c r="Q10" s="517" t="s">
        <v>221</v>
      </c>
      <c r="R10" s="515" t="s">
        <v>392</v>
      </c>
    </row>
    <row r="11" spans="2:18" ht="15" customHeight="1">
      <c r="B11" s="505" t="s">
        <v>379</v>
      </c>
      <c r="C11" s="518" t="s">
        <v>393</v>
      </c>
      <c r="D11" s="519" t="s">
        <v>394</v>
      </c>
      <c r="E11" s="505" t="s">
        <v>382</v>
      </c>
      <c r="F11" s="520" t="s">
        <v>395</v>
      </c>
      <c r="G11" s="509"/>
      <c r="H11" s="510"/>
      <c r="I11" s="511"/>
      <c r="J11" s="512"/>
      <c r="K11" s="512"/>
      <c r="L11" s="513" t="s">
        <v>384</v>
      </c>
      <c r="M11" s="514"/>
      <c r="N11" s="515"/>
      <c r="O11" s="521"/>
      <c r="P11" s="516"/>
      <c r="Q11" s="517"/>
      <c r="R11" s="515"/>
    </row>
    <row r="12" spans="2:18" ht="15" customHeight="1">
      <c r="B12" s="505"/>
      <c r="C12" s="518"/>
      <c r="D12" s="508"/>
      <c r="E12" s="505"/>
      <c r="F12" s="508"/>
      <c r="G12" s="509"/>
      <c r="H12" s="510"/>
      <c r="I12" s="511"/>
      <c r="J12" s="512"/>
      <c r="K12" s="512"/>
      <c r="L12" s="514"/>
      <c r="M12" s="514"/>
      <c r="N12" s="515"/>
      <c r="O12" s="521"/>
      <c r="P12" s="516"/>
      <c r="Q12" s="517"/>
      <c r="R12" s="515"/>
    </row>
    <row r="13" spans="2:18" ht="15" customHeight="1">
      <c r="B13" s="505" t="s">
        <v>235</v>
      </c>
      <c r="C13" s="506" t="s">
        <v>396</v>
      </c>
      <c r="D13" s="507"/>
      <c r="E13" s="505" t="s">
        <v>386</v>
      </c>
      <c r="F13" s="508" t="s">
        <v>397</v>
      </c>
      <c r="G13" s="509" t="s">
        <v>398</v>
      </c>
      <c r="H13" s="510" t="s">
        <v>399</v>
      </c>
      <c r="I13" s="511" t="s">
        <v>372</v>
      </c>
      <c r="J13" s="512" t="s">
        <v>400</v>
      </c>
      <c r="K13" s="512" t="s">
        <v>401</v>
      </c>
      <c r="L13" s="513" t="s">
        <v>402</v>
      </c>
      <c r="M13" s="514" t="s">
        <v>403</v>
      </c>
      <c r="N13" s="515" t="s">
        <v>403</v>
      </c>
      <c r="O13" s="456" t="s">
        <v>404</v>
      </c>
      <c r="P13" s="516"/>
      <c r="Q13" s="517" t="s">
        <v>405</v>
      </c>
      <c r="R13" s="515" t="s">
        <v>406</v>
      </c>
    </row>
    <row r="14" spans="2:18" ht="15" customHeight="1">
      <c r="B14" s="505" t="s">
        <v>379</v>
      </c>
      <c r="C14" s="518" t="s">
        <v>407</v>
      </c>
      <c r="D14" s="519" t="s">
        <v>408</v>
      </c>
      <c r="E14" s="505" t="s">
        <v>382</v>
      </c>
      <c r="F14" s="520" t="s">
        <v>409</v>
      </c>
      <c r="G14" s="509" t="s">
        <v>410</v>
      </c>
      <c r="H14" s="510" t="s">
        <v>411</v>
      </c>
      <c r="I14" s="511"/>
      <c r="J14" s="512"/>
      <c r="K14" s="512"/>
      <c r="L14" s="513" t="s">
        <v>412</v>
      </c>
      <c r="M14" s="514"/>
      <c r="N14" s="515"/>
      <c r="O14" s="521"/>
      <c r="P14" s="516"/>
      <c r="Q14" s="517"/>
      <c r="R14" s="515"/>
    </row>
    <row r="15" spans="2:18" ht="15" customHeight="1">
      <c r="B15" s="505"/>
      <c r="C15" s="518"/>
      <c r="D15" s="508"/>
      <c r="E15" s="505"/>
      <c r="F15" s="508"/>
      <c r="G15" s="509"/>
      <c r="H15" s="510"/>
      <c r="I15" s="511"/>
      <c r="J15" s="512"/>
      <c r="K15" s="512"/>
      <c r="L15" s="514"/>
      <c r="M15" s="514"/>
      <c r="N15" s="515"/>
      <c r="O15" s="521"/>
      <c r="P15" s="516"/>
      <c r="Q15" s="517"/>
      <c r="R15" s="515"/>
    </row>
    <row r="16" spans="2:18" ht="15" customHeight="1">
      <c r="B16" s="505" t="s">
        <v>413</v>
      </c>
      <c r="C16" s="506" t="s">
        <v>396</v>
      </c>
      <c r="D16" s="507"/>
      <c r="E16" s="505" t="s">
        <v>386</v>
      </c>
      <c r="F16" s="508" t="s">
        <v>414</v>
      </c>
      <c r="G16" s="509">
        <v>120000</v>
      </c>
      <c r="H16" s="510" t="s">
        <v>403</v>
      </c>
      <c r="I16" s="511" t="s">
        <v>221</v>
      </c>
      <c r="J16" s="522" t="s">
        <v>221</v>
      </c>
      <c r="K16" s="512" t="s">
        <v>415</v>
      </c>
      <c r="L16" s="515" t="s">
        <v>416</v>
      </c>
      <c r="M16" s="514" t="s">
        <v>403</v>
      </c>
      <c r="N16" s="515" t="s">
        <v>403</v>
      </c>
      <c r="O16" s="523" t="s">
        <v>417</v>
      </c>
      <c r="P16" s="524"/>
      <c r="Q16" s="517" t="s">
        <v>221</v>
      </c>
      <c r="R16" s="515" t="s">
        <v>406</v>
      </c>
    </row>
    <row r="17" spans="2:18" ht="15" customHeight="1">
      <c r="B17" s="505" t="s">
        <v>418</v>
      </c>
      <c r="C17" s="518" t="s">
        <v>419</v>
      </c>
      <c r="D17" s="519" t="s">
        <v>420</v>
      </c>
      <c r="E17" s="505" t="s">
        <v>382</v>
      </c>
      <c r="F17" s="508"/>
      <c r="G17" s="509"/>
      <c r="H17" s="510"/>
      <c r="I17" s="511"/>
      <c r="J17" s="512"/>
      <c r="K17" s="512"/>
      <c r="L17" s="515" t="s">
        <v>421</v>
      </c>
      <c r="M17" s="514"/>
      <c r="N17" s="515"/>
      <c r="O17" s="521"/>
      <c r="P17" s="516"/>
      <c r="Q17" s="517"/>
      <c r="R17" s="515"/>
    </row>
    <row r="18" spans="2:18" ht="15" customHeight="1">
      <c r="B18" s="505"/>
      <c r="C18" s="518"/>
      <c r="D18" s="508"/>
      <c r="E18" s="505"/>
      <c r="F18" s="508"/>
      <c r="G18" s="509"/>
      <c r="H18" s="510"/>
      <c r="I18" s="511"/>
      <c r="J18" s="512"/>
      <c r="K18" s="512"/>
      <c r="L18" s="514"/>
      <c r="M18" s="514"/>
      <c r="N18" s="515"/>
      <c r="O18" s="521"/>
      <c r="P18" s="516"/>
      <c r="Q18" s="517"/>
      <c r="R18" s="515"/>
    </row>
    <row r="19" spans="2:18" ht="15" customHeight="1">
      <c r="B19" s="505" t="s">
        <v>422</v>
      </c>
      <c r="C19" s="525" t="s">
        <v>423</v>
      </c>
      <c r="D19" s="526"/>
      <c r="E19" s="505" t="s">
        <v>386</v>
      </c>
      <c r="F19" s="508" t="s">
        <v>424</v>
      </c>
      <c r="G19" s="509">
        <v>3700</v>
      </c>
      <c r="H19" s="510" t="s">
        <v>425</v>
      </c>
      <c r="I19" s="511" t="s">
        <v>372</v>
      </c>
      <c r="J19" s="512" t="s">
        <v>426</v>
      </c>
      <c r="K19" s="512" t="s">
        <v>427</v>
      </c>
      <c r="L19" s="515" t="s">
        <v>428</v>
      </c>
      <c r="M19" s="514" t="s">
        <v>405</v>
      </c>
      <c r="N19" s="515" t="s">
        <v>403</v>
      </c>
      <c r="O19" s="456" t="s">
        <v>404</v>
      </c>
      <c r="P19" s="516"/>
      <c r="Q19" s="516" t="s">
        <v>405</v>
      </c>
      <c r="R19" s="515" t="s">
        <v>429</v>
      </c>
    </row>
    <row r="20" spans="2:18" ht="15" customHeight="1">
      <c r="B20" s="505"/>
      <c r="C20" s="518" t="s">
        <v>430</v>
      </c>
      <c r="D20" s="519" t="s">
        <v>431</v>
      </c>
      <c r="E20" s="505" t="s">
        <v>382</v>
      </c>
      <c r="F20" s="520" t="s">
        <v>432</v>
      </c>
      <c r="G20" s="509"/>
      <c r="H20" s="510"/>
      <c r="I20" s="511"/>
      <c r="J20" s="512"/>
      <c r="K20" s="512"/>
      <c r="L20" s="515" t="s">
        <v>433</v>
      </c>
      <c r="M20" s="514"/>
      <c r="N20" s="515"/>
      <c r="O20" s="521"/>
      <c r="P20" s="516"/>
      <c r="Q20" s="517"/>
      <c r="R20" s="515"/>
    </row>
    <row r="21" spans="2:18" ht="15" customHeight="1">
      <c r="B21" s="527"/>
      <c r="C21" s="528"/>
      <c r="D21" s="529"/>
      <c r="E21" s="527"/>
      <c r="F21" s="529"/>
      <c r="G21" s="530"/>
      <c r="H21" s="531"/>
      <c r="I21" s="532"/>
      <c r="J21" s="533"/>
      <c r="K21" s="533"/>
      <c r="L21" s="534"/>
      <c r="M21" s="534"/>
      <c r="N21" s="535"/>
      <c r="O21" s="536"/>
      <c r="P21" s="537"/>
      <c r="Q21" s="538"/>
      <c r="R21" s="535"/>
    </row>
    <row r="22" spans="2:18" ht="15" customHeight="1">
      <c r="B22" s="539"/>
      <c r="R22" s="548" t="s">
        <v>434</v>
      </c>
    </row>
    <row r="23" ht="11.25">
      <c r="R23" s="548" t="s">
        <v>192</v>
      </c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</sheetData>
  <sheetProtection/>
  <mergeCells count="22">
    <mergeCell ref="C7:D7"/>
    <mergeCell ref="C10:D10"/>
    <mergeCell ref="C13:D13"/>
    <mergeCell ref="C16:D16"/>
    <mergeCell ref="O16:P16"/>
    <mergeCell ref="C19:D19"/>
    <mergeCell ref="I3:I5"/>
    <mergeCell ref="J3:K3"/>
    <mergeCell ref="L3:N3"/>
    <mergeCell ref="O3:Q3"/>
    <mergeCell ref="R3:R5"/>
    <mergeCell ref="L4:L5"/>
    <mergeCell ref="M4:M5"/>
    <mergeCell ref="N4:N5"/>
    <mergeCell ref="O4:P5"/>
    <mergeCell ref="Q4:Q5"/>
    <mergeCell ref="B3:B5"/>
    <mergeCell ref="C3:D5"/>
    <mergeCell ref="E3:E5"/>
    <mergeCell ref="F3:F5"/>
    <mergeCell ref="G3:G5"/>
    <mergeCell ref="H3:H5"/>
  </mergeCells>
  <printOptions/>
  <pageMargins left="0.5905511811023623" right="0.41" top="0.7874015748031497" bottom="0.7874015748031497" header="0.3937007874015748" footer="0.3937007874015748"/>
  <pageSetup horizontalDpi="600" verticalDpi="600" orientation="portrait" paperSize="9" r:id="rId2"/>
  <headerFooter alignWithMargins="0">
    <oddHeader>&amp;R15.交通・通信</oddHeader>
    <oddFooter>&amp;C-109-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4">
      <selection activeCell="K8" sqref="K8"/>
    </sheetView>
  </sheetViews>
  <sheetFormatPr defaultColWidth="9.00390625" defaultRowHeight="13.5"/>
  <cols>
    <col min="1" max="1" width="3.625" style="454" customWidth="1"/>
    <col min="2" max="2" width="8.875" style="454" customWidth="1"/>
    <col min="3" max="6" width="7.125" style="454" customWidth="1"/>
    <col min="7" max="7" width="6.625" style="454" customWidth="1"/>
    <col min="8" max="8" width="7.125" style="454" customWidth="1"/>
    <col min="9" max="10" width="6.625" style="454" customWidth="1"/>
    <col min="11" max="11" width="4.50390625" style="454" bestFit="1" customWidth="1"/>
    <col min="12" max="12" width="6.50390625" style="454" customWidth="1"/>
    <col min="13" max="13" width="7.00390625" style="454" bestFit="1" customWidth="1"/>
    <col min="14" max="14" width="6.75390625" style="454" customWidth="1"/>
    <col min="15" max="16384" width="9.00390625" style="454" customWidth="1"/>
  </cols>
  <sheetData>
    <row r="1" ht="30" customHeight="1">
      <c r="A1" s="453" t="s">
        <v>435</v>
      </c>
    </row>
    <row r="2" spans="2:14" ht="18" customHeight="1">
      <c r="B2" s="549" t="s">
        <v>436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</row>
    <row r="3" spans="2:14" s="457" customFormat="1" ht="15" customHeight="1">
      <c r="B3" s="551"/>
      <c r="C3" s="552" t="s">
        <v>437</v>
      </c>
      <c r="D3" s="552"/>
      <c r="E3" s="552"/>
      <c r="F3" s="552"/>
      <c r="G3" s="552"/>
      <c r="H3" s="552" t="s">
        <v>438</v>
      </c>
      <c r="I3" s="552"/>
      <c r="J3" s="552"/>
      <c r="K3" s="553" t="s">
        <v>439</v>
      </c>
      <c r="L3" s="552" t="s">
        <v>440</v>
      </c>
      <c r="M3" s="552"/>
      <c r="N3" s="552"/>
    </row>
    <row r="4" spans="2:14" s="457" customFormat="1" ht="15" customHeight="1">
      <c r="B4" s="554" t="s">
        <v>1</v>
      </c>
      <c r="C4" s="555"/>
      <c r="D4" s="556" t="s">
        <v>441</v>
      </c>
      <c r="E4" s="556"/>
      <c r="F4" s="556"/>
      <c r="G4" s="478" t="s">
        <v>442</v>
      </c>
      <c r="H4" s="557"/>
      <c r="I4" s="557"/>
      <c r="J4" s="557"/>
      <c r="K4" s="558"/>
      <c r="L4" s="557"/>
      <c r="M4" s="557"/>
      <c r="N4" s="557"/>
    </row>
    <row r="5" spans="2:14" s="457" customFormat="1" ht="15" customHeight="1">
      <c r="B5" s="559"/>
      <c r="C5" s="559"/>
      <c r="D5" s="560" t="s">
        <v>324</v>
      </c>
      <c r="E5" s="561" t="s">
        <v>443</v>
      </c>
      <c r="F5" s="562" t="s">
        <v>444</v>
      </c>
      <c r="G5" s="489"/>
      <c r="H5" s="560" t="s">
        <v>324</v>
      </c>
      <c r="I5" s="561" t="s">
        <v>443</v>
      </c>
      <c r="J5" s="562" t="s">
        <v>444</v>
      </c>
      <c r="K5" s="563"/>
      <c r="L5" s="560" t="s">
        <v>324</v>
      </c>
      <c r="M5" s="561" t="s">
        <v>445</v>
      </c>
      <c r="N5" s="562" t="s">
        <v>446</v>
      </c>
    </row>
    <row r="6" spans="2:14" s="564" customFormat="1" ht="18" customHeight="1">
      <c r="B6" s="565" t="s">
        <v>14</v>
      </c>
      <c r="C6" s="566">
        <f aca="true" t="shared" si="0" ref="C6:N6">SUM(C7:C10)</f>
        <v>30344</v>
      </c>
      <c r="D6" s="566">
        <f t="shared" si="0"/>
        <v>30344</v>
      </c>
      <c r="E6" s="567">
        <f t="shared" si="0"/>
        <v>8700</v>
      </c>
      <c r="F6" s="568">
        <f t="shared" si="0"/>
        <v>21644</v>
      </c>
      <c r="G6" s="569" t="s">
        <v>221</v>
      </c>
      <c r="H6" s="566">
        <f t="shared" si="0"/>
        <v>4239</v>
      </c>
      <c r="I6" s="567">
        <f t="shared" si="0"/>
        <v>2441</v>
      </c>
      <c r="J6" s="568">
        <f t="shared" si="0"/>
        <v>1798</v>
      </c>
      <c r="K6" s="566">
        <f t="shared" si="0"/>
        <v>25</v>
      </c>
      <c r="L6" s="566">
        <f t="shared" si="0"/>
        <v>411</v>
      </c>
      <c r="M6" s="567">
        <f t="shared" si="0"/>
        <v>53</v>
      </c>
      <c r="N6" s="568">
        <f t="shared" si="0"/>
        <v>358</v>
      </c>
    </row>
    <row r="7" spans="2:14" s="564" customFormat="1" ht="18" customHeight="1">
      <c r="B7" s="570" t="s">
        <v>8</v>
      </c>
      <c r="C7" s="571">
        <f>SUM(D7,G7)</f>
        <v>8624</v>
      </c>
      <c r="D7" s="571">
        <f>SUM(E7:F7)</f>
        <v>8624</v>
      </c>
      <c r="E7" s="572">
        <v>2653</v>
      </c>
      <c r="F7" s="573">
        <v>5971</v>
      </c>
      <c r="G7" s="574" t="s">
        <v>212</v>
      </c>
      <c r="H7" s="571">
        <f>SUM(I7:J7)</f>
        <v>1091</v>
      </c>
      <c r="I7" s="572">
        <v>660</v>
      </c>
      <c r="J7" s="573">
        <v>431</v>
      </c>
      <c r="K7" s="574" t="s">
        <v>212</v>
      </c>
      <c r="L7" s="571">
        <f>SUM(M7:N7)</f>
        <v>161</v>
      </c>
      <c r="M7" s="572">
        <v>14</v>
      </c>
      <c r="N7" s="573">
        <v>147</v>
      </c>
    </row>
    <row r="8" spans="2:14" s="564" customFormat="1" ht="18" customHeight="1">
      <c r="B8" s="570" t="s">
        <v>9</v>
      </c>
      <c r="C8" s="571">
        <f>SUM(D8,G8)</f>
        <v>10542</v>
      </c>
      <c r="D8" s="571">
        <f>SUM(E8:F8)</f>
        <v>10542</v>
      </c>
      <c r="E8" s="572">
        <v>2935</v>
      </c>
      <c r="F8" s="573">
        <v>7607</v>
      </c>
      <c r="G8" s="574" t="s">
        <v>221</v>
      </c>
      <c r="H8" s="571">
        <f>SUM(I8:J8)</f>
        <v>1822</v>
      </c>
      <c r="I8" s="572">
        <v>1054</v>
      </c>
      <c r="J8" s="573">
        <v>768</v>
      </c>
      <c r="K8" s="575">
        <v>23</v>
      </c>
      <c r="L8" s="571">
        <f>SUM(M8:N8)</f>
        <v>131</v>
      </c>
      <c r="M8" s="572">
        <v>23</v>
      </c>
      <c r="N8" s="573">
        <v>108</v>
      </c>
    </row>
    <row r="9" spans="2:14" s="564" customFormat="1" ht="18" customHeight="1">
      <c r="B9" s="570" t="s">
        <v>11</v>
      </c>
      <c r="C9" s="571">
        <f>SUM(D9,G9)</f>
        <v>6429</v>
      </c>
      <c r="D9" s="571">
        <f>SUM(E9:F9)</f>
        <v>6429</v>
      </c>
      <c r="E9" s="572">
        <v>1790</v>
      </c>
      <c r="F9" s="573">
        <v>4639</v>
      </c>
      <c r="G9" s="574" t="s">
        <v>221</v>
      </c>
      <c r="H9" s="571">
        <f>SUM(I9:J9)</f>
        <v>942</v>
      </c>
      <c r="I9" s="572">
        <v>526</v>
      </c>
      <c r="J9" s="573">
        <v>416</v>
      </c>
      <c r="K9" s="575">
        <v>2</v>
      </c>
      <c r="L9" s="571">
        <f>SUM(M9:N9)</f>
        <v>83</v>
      </c>
      <c r="M9" s="572">
        <v>10</v>
      </c>
      <c r="N9" s="573">
        <v>73</v>
      </c>
    </row>
    <row r="10" spans="2:14" s="564" customFormat="1" ht="18" customHeight="1">
      <c r="B10" s="570" t="s">
        <v>300</v>
      </c>
      <c r="C10" s="571">
        <f>SUM(D10,G10)</f>
        <v>4749</v>
      </c>
      <c r="D10" s="571">
        <f>SUM(E10:F10)</f>
        <v>4749</v>
      </c>
      <c r="E10" s="572">
        <v>1322</v>
      </c>
      <c r="F10" s="573">
        <v>3427</v>
      </c>
      <c r="G10" s="574" t="s">
        <v>221</v>
      </c>
      <c r="H10" s="571">
        <f>SUM(I10:J10)</f>
        <v>384</v>
      </c>
      <c r="I10" s="572">
        <v>201</v>
      </c>
      <c r="J10" s="573">
        <v>183</v>
      </c>
      <c r="K10" s="574" t="s">
        <v>212</v>
      </c>
      <c r="L10" s="571">
        <f>SUM(M10:N10)</f>
        <v>36</v>
      </c>
      <c r="M10" s="572">
        <v>6</v>
      </c>
      <c r="N10" s="573">
        <v>30</v>
      </c>
    </row>
    <row r="11" spans="2:14" s="564" customFormat="1" ht="18" customHeight="1">
      <c r="B11" s="565" t="s">
        <v>15</v>
      </c>
      <c r="C11" s="566">
        <f aca="true" t="shared" si="1" ref="C11:N11">SUM(C12:C15)</f>
        <v>28324</v>
      </c>
      <c r="D11" s="566">
        <f t="shared" si="1"/>
        <v>28324</v>
      </c>
      <c r="E11" s="567">
        <f t="shared" si="1"/>
        <v>7728</v>
      </c>
      <c r="F11" s="568">
        <f t="shared" si="1"/>
        <v>20596</v>
      </c>
      <c r="G11" s="569" t="s">
        <v>221</v>
      </c>
      <c r="H11" s="566">
        <f t="shared" si="1"/>
        <v>6314</v>
      </c>
      <c r="I11" s="567">
        <f t="shared" si="1"/>
        <v>3185</v>
      </c>
      <c r="J11" s="568">
        <f t="shared" si="1"/>
        <v>3129</v>
      </c>
      <c r="K11" s="566">
        <f t="shared" si="1"/>
        <v>47</v>
      </c>
      <c r="L11" s="566">
        <f t="shared" si="1"/>
        <v>387</v>
      </c>
      <c r="M11" s="567">
        <f t="shared" si="1"/>
        <v>64</v>
      </c>
      <c r="N11" s="568">
        <f t="shared" si="1"/>
        <v>323</v>
      </c>
    </row>
    <row r="12" spans="2:14" s="564" customFormat="1" ht="18" customHeight="1">
      <c r="B12" s="570" t="s">
        <v>8</v>
      </c>
      <c r="C12" s="571">
        <f>SUM(D12,G12)</f>
        <v>8015</v>
      </c>
      <c r="D12" s="571">
        <f>SUM(E12:F12)</f>
        <v>8015</v>
      </c>
      <c r="E12" s="572">
        <v>2375</v>
      </c>
      <c r="F12" s="573">
        <v>5640</v>
      </c>
      <c r="G12" s="574" t="s">
        <v>221</v>
      </c>
      <c r="H12" s="571">
        <f>SUM(I12:J12)</f>
        <v>1646</v>
      </c>
      <c r="I12" s="572">
        <v>871</v>
      </c>
      <c r="J12" s="573">
        <v>775</v>
      </c>
      <c r="K12" s="574" t="s">
        <v>212</v>
      </c>
      <c r="L12" s="571">
        <f>SUM(M12:N12)</f>
        <v>151</v>
      </c>
      <c r="M12" s="572">
        <v>19</v>
      </c>
      <c r="N12" s="573">
        <v>132</v>
      </c>
    </row>
    <row r="13" spans="2:14" s="564" customFormat="1" ht="18" customHeight="1">
      <c r="B13" s="570" t="s">
        <v>9</v>
      </c>
      <c r="C13" s="571">
        <f>SUM(D13,G13)</f>
        <v>9857</v>
      </c>
      <c r="D13" s="571">
        <f>SUM(E13:F13)</f>
        <v>9857</v>
      </c>
      <c r="E13" s="572">
        <v>2598</v>
      </c>
      <c r="F13" s="573">
        <v>7259</v>
      </c>
      <c r="G13" s="574" t="s">
        <v>221</v>
      </c>
      <c r="H13" s="571">
        <f>SUM(I13:J13)</f>
        <v>2642</v>
      </c>
      <c r="I13" s="572">
        <v>1352</v>
      </c>
      <c r="J13" s="573">
        <v>1290</v>
      </c>
      <c r="K13" s="575">
        <v>45</v>
      </c>
      <c r="L13" s="571">
        <f>SUM(M13:N13)</f>
        <v>124</v>
      </c>
      <c r="M13" s="572">
        <v>24</v>
      </c>
      <c r="N13" s="573">
        <v>100</v>
      </c>
    </row>
    <row r="14" spans="2:14" s="564" customFormat="1" ht="18" customHeight="1">
      <c r="B14" s="570" t="s">
        <v>11</v>
      </c>
      <c r="C14" s="571">
        <f>SUM(D14,G14)</f>
        <v>6011</v>
      </c>
      <c r="D14" s="571">
        <f>SUM(E14:F14)</f>
        <v>6011</v>
      </c>
      <c r="E14" s="572">
        <v>1584</v>
      </c>
      <c r="F14" s="573">
        <v>4427</v>
      </c>
      <c r="G14" s="574" t="s">
        <v>221</v>
      </c>
      <c r="H14" s="571">
        <f>SUM(I14:J14)</f>
        <v>1408</v>
      </c>
      <c r="I14" s="572">
        <v>696</v>
      </c>
      <c r="J14" s="573">
        <v>712</v>
      </c>
      <c r="K14" s="575">
        <v>2</v>
      </c>
      <c r="L14" s="571">
        <f>SUM(M14:N14)</f>
        <v>77</v>
      </c>
      <c r="M14" s="572">
        <v>15</v>
      </c>
      <c r="N14" s="573">
        <v>62</v>
      </c>
    </row>
    <row r="15" spans="2:14" s="564" customFormat="1" ht="18" customHeight="1">
      <c r="B15" s="570" t="s">
        <v>300</v>
      </c>
      <c r="C15" s="571">
        <f>SUM(D15,G15)</f>
        <v>4441</v>
      </c>
      <c r="D15" s="571">
        <f>SUM(E15:F15)</f>
        <v>4441</v>
      </c>
      <c r="E15" s="572">
        <v>1171</v>
      </c>
      <c r="F15" s="573">
        <v>3270</v>
      </c>
      <c r="G15" s="574" t="s">
        <v>221</v>
      </c>
      <c r="H15" s="571">
        <f>SUM(I15:J15)</f>
        <v>618</v>
      </c>
      <c r="I15" s="572">
        <v>266</v>
      </c>
      <c r="J15" s="573">
        <v>352</v>
      </c>
      <c r="K15" s="574" t="s">
        <v>212</v>
      </c>
      <c r="L15" s="571">
        <f>SUM(M15:N15)</f>
        <v>35</v>
      </c>
      <c r="M15" s="572">
        <v>6</v>
      </c>
      <c r="N15" s="573">
        <v>29</v>
      </c>
    </row>
    <row r="16" spans="2:14" s="564" customFormat="1" ht="18" customHeight="1">
      <c r="B16" s="565" t="s">
        <v>16</v>
      </c>
      <c r="C16" s="566">
        <f aca="true" t="shared" si="2" ref="C16:N16">SUM(C17:C20)</f>
        <v>27742</v>
      </c>
      <c r="D16" s="566">
        <f t="shared" si="2"/>
        <v>27742</v>
      </c>
      <c r="E16" s="567">
        <f t="shared" si="2"/>
        <v>7000</v>
      </c>
      <c r="F16" s="568">
        <f t="shared" si="2"/>
        <v>20742</v>
      </c>
      <c r="G16" s="569" t="s">
        <v>221</v>
      </c>
      <c r="H16" s="566">
        <f t="shared" si="2"/>
        <v>6688</v>
      </c>
      <c r="I16" s="567">
        <f t="shared" si="2"/>
        <v>3567</v>
      </c>
      <c r="J16" s="568">
        <f t="shared" si="2"/>
        <v>3121</v>
      </c>
      <c r="K16" s="566">
        <f t="shared" si="2"/>
        <v>34</v>
      </c>
      <c r="L16" s="566">
        <f t="shared" si="2"/>
        <v>353</v>
      </c>
      <c r="M16" s="567">
        <f t="shared" si="2"/>
        <v>67</v>
      </c>
      <c r="N16" s="568">
        <f t="shared" si="2"/>
        <v>286</v>
      </c>
    </row>
    <row r="17" spans="2:14" s="564" customFormat="1" ht="18" customHeight="1">
      <c r="B17" s="570" t="s">
        <v>8</v>
      </c>
      <c r="C17" s="571">
        <f>SUM(D17,G17)</f>
        <v>7781</v>
      </c>
      <c r="D17" s="571">
        <f>SUM(E17:F17)</f>
        <v>7781</v>
      </c>
      <c r="E17" s="572">
        <v>2128</v>
      </c>
      <c r="F17" s="573">
        <v>5653</v>
      </c>
      <c r="G17" s="574" t="s">
        <v>221</v>
      </c>
      <c r="H17" s="571">
        <f>SUM(I17:J17)</f>
        <v>1765</v>
      </c>
      <c r="I17" s="572">
        <v>998</v>
      </c>
      <c r="J17" s="573">
        <v>767</v>
      </c>
      <c r="K17" s="575">
        <v>1</v>
      </c>
      <c r="L17" s="571">
        <f>SUM(M17:N17)</f>
        <v>138</v>
      </c>
      <c r="M17" s="572">
        <v>20</v>
      </c>
      <c r="N17" s="573">
        <v>118</v>
      </c>
    </row>
    <row r="18" spans="2:14" s="564" customFormat="1" ht="18" customHeight="1">
      <c r="B18" s="570" t="s">
        <v>9</v>
      </c>
      <c r="C18" s="571">
        <f>SUM(D18,G18)</f>
        <v>9689</v>
      </c>
      <c r="D18" s="571">
        <f>SUM(E18:F18)</f>
        <v>9689</v>
      </c>
      <c r="E18" s="572">
        <v>2365</v>
      </c>
      <c r="F18" s="573">
        <v>7324</v>
      </c>
      <c r="G18" s="574" t="s">
        <v>221</v>
      </c>
      <c r="H18" s="571">
        <f>SUM(I18:J18)</f>
        <v>2821</v>
      </c>
      <c r="I18" s="572">
        <v>1501</v>
      </c>
      <c r="J18" s="573">
        <v>1320</v>
      </c>
      <c r="K18" s="575">
        <v>31</v>
      </c>
      <c r="L18" s="571">
        <f>SUM(M18:N18)</f>
        <v>113</v>
      </c>
      <c r="M18" s="572">
        <v>25</v>
      </c>
      <c r="N18" s="573">
        <v>88</v>
      </c>
    </row>
    <row r="19" spans="2:14" s="564" customFormat="1" ht="18" customHeight="1">
      <c r="B19" s="570" t="s">
        <v>11</v>
      </c>
      <c r="C19" s="571">
        <f>SUM(D19,G19)</f>
        <v>5908</v>
      </c>
      <c r="D19" s="571">
        <f>SUM(E19:F19)</f>
        <v>5908</v>
      </c>
      <c r="E19" s="572">
        <v>1442</v>
      </c>
      <c r="F19" s="573">
        <v>4466</v>
      </c>
      <c r="G19" s="574" t="s">
        <v>221</v>
      </c>
      <c r="H19" s="571">
        <f>SUM(I19:J19)</f>
        <v>1393</v>
      </c>
      <c r="I19" s="572">
        <v>748</v>
      </c>
      <c r="J19" s="573">
        <v>645</v>
      </c>
      <c r="K19" s="575">
        <v>2</v>
      </c>
      <c r="L19" s="571">
        <f>SUM(M19:N19)</f>
        <v>71</v>
      </c>
      <c r="M19" s="572">
        <v>16</v>
      </c>
      <c r="N19" s="573">
        <v>55</v>
      </c>
    </row>
    <row r="20" spans="2:14" s="564" customFormat="1" ht="18" customHeight="1">
      <c r="B20" s="570" t="s">
        <v>300</v>
      </c>
      <c r="C20" s="571">
        <f>SUM(D20,G20)</f>
        <v>4364</v>
      </c>
      <c r="D20" s="571">
        <f>SUM(E20:F20)</f>
        <v>4364</v>
      </c>
      <c r="E20" s="572">
        <v>1065</v>
      </c>
      <c r="F20" s="573">
        <v>3299</v>
      </c>
      <c r="G20" s="574" t="s">
        <v>221</v>
      </c>
      <c r="H20" s="571">
        <f>SUM(I20:J20)</f>
        <v>709</v>
      </c>
      <c r="I20" s="572">
        <v>320</v>
      </c>
      <c r="J20" s="573">
        <v>389</v>
      </c>
      <c r="K20" s="574" t="s">
        <v>447</v>
      </c>
      <c r="L20" s="571">
        <f>SUM(M20:N20)</f>
        <v>31</v>
      </c>
      <c r="M20" s="572">
        <v>6</v>
      </c>
      <c r="N20" s="573">
        <v>25</v>
      </c>
    </row>
    <row r="21" spans="2:14" s="564" customFormat="1" ht="18" customHeight="1">
      <c r="B21" s="565" t="s">
        <v>12</v>
      </c>
      <c r="C21" s="566">
        <f aca="true" t="shared" si="3" ref="C21:N21">SUM(C22:C25)</f>
        <v>28106</v>
      </c>
      <c r="D21" s="566">
        <f t="shared" si="3"/>
        <v>28106</v>
      </c>
      <c r="E21" s="567">
        <f t="shared" si="3"/>
        <v>6696</v>
      </c>
      <c r="F21" s="568">
        <f t="shared" si="3"/>
        <v>21410</v>
      </c>
      <c r="G21" s="569" t="s">
        <v>221</v>
      </c>
      <c r="H21" s="566">
        <f t="shared" si="3"/>
        <v>6194</v>
      </c>
      <c r="I21" s="567">
        <f t="shared" si="3"/>
        <v>3665</v>
      </c>
      <c r="J21" s="568">
        <f t="shared" si="3"/>
        <v>2529</v>
      </c>
      <c r="K21" s="566">
        <f t="shared" si="3"/>
        <v>20</v>
      </c>
      <c r="L21" s="566">
        <f t="shared" si="3"/>
        <v>329</v>
      </c>
      <c r="M21" s="567">
        <f t="shared" si="3"/>
        <v>73</v>
      </c>
      <c r="N21" s="568">
        <f t="shared" si="3"/>
        <v>256</v>
      </c>
    </row>
    <row r="22" spans="2:14" s="564" customFormat="1" ht="18" customHeight="1">
      <c r="B22" s="570" t="s">
        <v>8</v>
      </c>
      <c r="C22" s="571">
        <f>SUM(D22,G22)</f>
        <v>7781</v>
      </c>
      <c r="D22" s="571">
        <f>SUM(E22:F22)</f>
        <v>7781</v>
      </c>
      <c r="E22" s="572">
        <v>2052</v>
      </c>
      <c r="F22" s="573">
        <v>5729</v>
      </c>
      <c r="G22" s="574" t="s">
        <v>221</v>
      </c>
      <c r="H22" s="571">
        <f>SUM(I22:J22)</f>
        <v>1662</v>
      </c>
      <c r="I22" s="572">
        <v>1012</v>
      </c>
      <c r="J22" s="573">
        <v>650</v>
      </c>
      <c r="K22" s="575">
        <v>1</v>
      </c>
      <c r="L22" s="571">
        <f>SUM(M22:N22)</f>
        <v>128</v>
      </c>
      <c r="M22" s="572">
        <v>23</v>
      </c>
      <c r="N22" s="573">
        <v>105</v>
      </c>
    </row>
    <row r="23" spans="2:14" s="564" customFormat="1" ht="18" customHeight="1">
      <c r="B23" s="570" t="s">
        <v>9</v>
      </c>
      <c r="C23" s="571">
        <f>SUM(D23,G23)</f>
        <v>9865</v>
      </c>
      <c r="D23" s="571">
        <f>SUM(E23:F23)</f>
        <v>9865</v>
      </c>
      <c r="E23" s="572">
        <v>2254</v>
      </c>
      <c r="F23" s="573">
        <v>7611</v>
      </c>
      <c r="G23" s="574" t="s">
        <v>221</v>
      </c>
      <c r="H23" s="571">
        <f>SUM(I23:J23)</f>
        <v>2618</v>
      </c>
      <c r="I23" s="572">
        <v>1557</v>
      </c>
      <c r="J23" s="573">
        <v>1061</v>
      </c>
      <c r="K23" s="575">
        <v>15</v>
      </c>
      <c r="L23" s="571">
        <f>SUM(M23:N23)</f>
        <v>107</v>
      </c>
      <c r="M23" s="572">
        <v>26</v>
      </c>
      <c r="N23" s="573">
        <v>81</v>
      </c>
    </row>
    <row r="24" spans="2:14" s="564" customFormat="1" ht="18" customHeight="1">
      <c r="B24" s="570" t="s">
        <v>11</v>
      </c>
      <c r="C24" s="571">
        <f>SUM(D24,G24)</f>
        <v>6016</v>
      </c>
      <c r="D24" s="571">
        <f>SUM(E24:F24)</f>
        <v>6016</v>
      </c>
      <c r="E24" s="572">
        <v>1375</v>
      </c>
      <c r="F24" s="573">
        <v>4641</v>
      </c>
      <c r="G24" s="574" t="s">
        <v>221</v>
      </c>
      <c r="H24" s="571">
        <f>SUM(I24:J24)</f>
        <v>1269</v>
      </c>
      <c r="I24" s="572">
        <v>775</v>
      </c>
      <c r="J24" s="573">
        <v>494</v>
      </c>
      <c r="K24" s="575">
        <v>2</v>
      </c>
      <c r="L24" s="571">
        <f>SUM(M24:N24)</f>
        <v>63</v>
      </c>
      <c r="M24" s="572">
        <v>18</v>
      </c>
      <c r="N24" s="573">
        <v>45</v>
      </c>
    </row>
    <row r="25" spans="2:14" s="564" customFormat="1" ht="18" customHeight="1">
      <c r="B25" s="570" t="s">
        <v>300</v>
      </c>
      <c r="C25" s="571">
        <f>SUM(D25,G25)</f>
        <v>4444</v>
      </c>
      <c r="D25" s="571">
        <f>SUM(E25:F25)</f>
        <v>4444</v>
      </c>
      <c r="E25" s="572">
        <v>1015</v>
      </c>
      <c r="F25" s="573">
        <v>3429</v>
      </c>
      <c r="G25" s="574" t="s">
        <v>221</v>
      </c>
      <c r="H25" s="571">
        <f>SUM(I25:J25)</f>
        <v>645</v>
      </c>
      <c r="I25" s="572">
        <v>321</v>
      </c>
      <c r="J25" s="573">
        <v>324</v>
      </c>
      <c r="K25" s="575">
        <v>2</v>
      </c>
      <c r="L25" s="571">
        <f>SUM(M25:N25)</f>
        <v>31</v>
      </c>
      <c r="M25" s="572">
        <v>6</v>
      </c>
      <c r="N25" s="573">
        <v>25</v>
      </c>
    </row>
    <row r="26" spans="2:14" s="576" customFormat="1" ht="18" customHeight="1">
      <c r="B26" s="565" t="s">
        <v>13</v>
      </c>
      <c r="C26" s="566">
        <f aca="true" t="shared" si="4" ref="C26:N26">SUM(C27:C30)</f>
        <v>28688</v>
      </c>
      <c r="D26" s="566">
        <f t="shared" si="4"/>
        <v>28688</v>
      </c>
      <c r="E26" s="567">
        <f t="shared" si="4"/>
        <v>6590</v>
      </c>
      <c r="F26" s="568">
        <f t="shared" si="4"/>
        <v>22098</v>
      </c>
      <c r="G26" s="569" t="s">
        <v>221</v>
      </c>
      <c r="H26" s="566">
        <f t="shared" si="4"/>
        <v>5702</v>
      </c>
      <c r="I26" s="567">
        <f t="shared" si="4"/>
        <v>3797</v>
      </c>
      <c r="J26" s="568">
        <f t="shared" si="4"/>
        <v>1905</v>
      </c>
      <c r="K26" s="569" t="s">
        <v>221</v>
      </c>
      <c r="L26" s="566">
        <f t="shared" si="4"/>
        <v>261</v>
      </c>
      <c r="M26" s="567">
        <f t="shared" si="4"/>
        <v>77</v>
      </c>
      <c r="N26" s="568">
        <f t="shared" si="4"/>
        <v>184</v>
      </c>
    </row>
    <row r="27" spans="2:14" s="564" customFormat="1" ht="18" customHeight="1">
      <c r="B27" s="570" t="s">
        <v>8</v>
      </c>
      <c r="C27" s="571">
        <f>SUM(D27,G27)</f>
        <v>7910</v>
      </c>
      <c r="D27" s="571">
        <f>SUM(E27:F27)</f>
        <v>7910</v>
      </c>
      <c r="E27" s="577">
        <v>2030</v>
      </c>
      <c r="F27" s="578">
        <v>5880</v>
      </c>
      <c r="G27" s="574" t="s">
        <v>221</v>
      </c>
      <c r="H27" s="571">
        <f>SUM(I27:J27)</f>
        <v>1491</v>
      </c>
      <c r="I27" s="577">
        <v>1005</v>
      </c>
      <c r="J27" s="578">
        <v>486</v>
      </c>
      <c r="K27" s="574" t="s">
        <v>447</v>
      </c>
      <c r="L27" s="571">
        <f>SUM(M27:N27)</f>
        <v>93</v>
      </c>
      <c r="M27" s="577">
        <v>23</v>
      </c>
      <c r="N27" s="578">
        <v>70</v>
      </c>
    </row>
    <row r="28" spans="2:14" s="564" customFormat="1" ht="18" customHeight="1">
      <c r="B28" s="570" t="s">
        <v>9</v>
      </c>
      <c r="C28" s="571">
        <f>SUM(D28,G28)</f>
        <v>9911</v>
      </c>
      <c r="D28" s="571">
        <f>SUM(E28:F28)</f>
        <v>9911</v>
      </c>
      <c r="E28" s="577">
        <v>2429</v>
      </c>
      <c r="F28" s="578">
        <v>7482</v>
      </c>
      <c r="G28" s="574" t="s">
        <v>221</v>
      </c>
      <c r="H28" s="571">
        <f>SUM(I28:J28)</f>
        <v>2008</v>
      </c>
      <c r="I28" s="577">
        <v>1401</v>
      </c>
      <c r="J28" s="578">
        <v>607</v>
      </c>
      <c r="K28" s="574" t="s">
        <v>447</v>
      </c>
      <c r="L28" s="571">
        <f>SUM(M28:N28)</f>
        <v>83</v>
      </c>
      <c r="M28" s="577">
        <v>26</v>
      </c>
      <c r="N28" s="578">
        <v>57</v>
      </c>
    </row>
    <row r="29" spans="2:14" s="564" customFormat="1" ht="18" customHeight="1">
      <c r="B29" s="570" t="s">
        <v>11</v>
      </c>
      <c r="C29" s="571">
        <f>SUM(D29,G29)</f>
        <v>7231</v>
      </c>
      <c r="D29" s="571">
        <f>SUM(E29:F29)</f>
        <v>7231</v>
      </c>
      <c r="E29" s="577">
        <v>1383</v>
      </c>
      <c r="F29" s="578">
        <v>5848</v>
      </c>
      <c r="G29" s="574" t="s">
        <v>221</v>
      </c>
      <c r="H29" s="571">
        <f>SUM(I29:J29)</f>
        <v>1304</v>
      </c>
      <c r="I29" s="577">
        <v>879</v>
      </c>
      <c r="J29" s="578">
        <v>425</v>
      </c>
      <c r="K29" s="574" t="s">
        <v>447</v>
      </c>
      <c r="L29" s="571">
        <f>SUM(M29:N29)</f>
        <v>58</v>
      </c>
      <c r="M29" s="577">
        <v>21</v>
      </c>
      <c r="N29" s="578">
        <v>37</v>
      </c>
    </row>
    <row r="30" spans="2:14" s="564" customFormat="1" ht="18" customHeight="1">
      <c r="B30" s="570" t="s">
        <v>300</v>
      </c>
      <c r="C30" s="571">
        <f>SUM(D30,G30)</f>
        <v>3636</v>
      </c>
      <c r="D30" s="571">
        <f>SUM(E30:F30)</f>
        <v>3636</v>
      </c>
      <c r="E30" s="577">
        <v>748</v>
      </c>
      <c r="F30" s="578">
        <v>2888</v>
      </c>
      <c r="G30" s="574" t="s">
        <v>221</v>
      </c>
      <c r="H30" s="571">
        <f>SUM(I30:J30)</f>
        <v>899</v>
      </c>
      <c r="I30" s="577">
        <v>512</v>
      </c>
      <c r="J30" s="578">
        <v>387</v>
      </c>
      <c r="K30" s="574" t="s">
        <v>447</v>
      </c>
      <c r="L30" s="571">
        <f>SUM(M30:N30)</f>
        <v>27</v>
      </c>
      <c r="M30" s="577">
        <v>7</v>
      </c>
      <c r="N30" s="578">
        <v>20</v>
      </c>
    </row>
    <row r="31" spans="2:14" s="576" customFormat="1" ht="18" customHeight="1">
      <c r="B31" s="565" t="s">
        <v>7</v>
      </c>
      <c r="C31" s="566">
        <f>SUM(C32:C35)</f>
        <v>28770</v>
      </c>
      <c r="D31" s="566">
        <f aca="true" t="shared" si="5" ref="D31:N31">SUM(D32:D35)</f>
        <v>28770</v>
      </c>
      <c r="E31" s="567">
        <f t="shared" si="5"/>
        <v>6421</v>
      </c>
      <c r="F31" s="568">
        <f t="shared" si="5"/>
        <v>22349</v>
      </c>
      <c r="G31" s="569" t="s">
        <v>221</v>
      </c>
      <c r="H31" s="566">
        <f t="shared" si="5"/>
        <v>5051</v>
      </c>
      <c r="I31" s="567">
        <f t="shared" si="5"/>
        <v>3587</v>
      </c>
      <c r="J31" s="568">
        <f t="shared" si="5"/>
        <v>1464</v>
      </c>
      <c r="K31" s="569" t="s">
        <v>221</v>
      </c>
      <c r="L31" s="566">
        <f t="shared" si="5"/>
        <v>228</v>
      </c>
      <c r="M31" s="567">
        <f t="shared" si="5"/>
        <v>75</v>
      </c>
      <c r="N31" s="568">
        <f t="shared" si="5"/>
        <v>153</v>
      </c>
    </row>
    <row r="32" spans="2:14" s="564" customFormat="1" ht="18" customHeight="1">
      <c r="B32" s="570" t="s">
        <v>8</v>
      </c>
      <c r="C32" s="571">
        <f>SUM(D32,G32)</f>
        <v>7957</v>
      </c>
      <c r="D32" s="571">
        <f>SUM(E32:F32)</f>
        <v>7957</v>
      </c>
      <c r="E32" s="577">
        <v>2004</v>
      </c>
      <c r="F32" s="578">
        <v>5953</v>
      </c>
      <c r="G32" s="574" t="s">
        <v>221</v>
      </c>
      <c r="H32" s="571">
        <f>SUM(I32:J32)</f>
        <v>1375</v>
      </c>
      <c r="I32" s="577">
        <v>992</v>
      </c>
      <c r="J32" s="578">
        <v>383</v>
      </c>
      <c r="K32" s="574" t="s">
        <v>447</v>
      </c>
      <c r="L32" s="571">
        <f>SUM(M32:N32)</f>
        <v>81</v>
      </c>
      <c r="M32" s="577">
        <v>21</v>
      </c>
      <c r="N32" s="578">
        <v>60</v>
      </c>
    </row>
    <row r="33" spans="2:14" s="564" customFormat="1" ht="18" customHeight="1">
      <c r="B33" s="570" t="s">
        <v>9</v>
      </c>
      <c r="C33" s="571">
        <f>SUM(D33,G33)</f>
        <v>9758</v>
      </c>
      <c r="D33" s="571">
        <f>SUM(E33:F33)</f>
        <v>9758</v>
      </c>
      <c r="E33" s="577">
        <v>2301</v>
      </c>
      <c r="F33" s="578">
        <v>7457</v>
      </c>
      <c r="G33" s="574" t="s">
        <v>221</v>
      </c>
      <c r="H33" s="571">
        <f>SUM(I33:J33)</f>
        <v>1733</v>
      </c>
      <c r="I33" s="577">
        <v>1252</v>
      </c>
      <c r="J33" s="578">
        <v>481</v>
      </c>
      <c r="K33" s="574" t="s">
        <v>447</v>
      </c>
      <c r="L33" s="571">
        <f>SUM(M33:N33)</f>
        <v>73</v>
      </c>
      <c r="M33" s="577">
        <v>26</v>
      </c>
      <c r="N33" s="578">
        <v>47</v>
      </c>
    </row>
    <row r="34" spans="2:14" s="564" customFormat="1" ht="18" customHeight="1">
      <c r="B34" s="570" t="s">
        <v>11</v>
      </c>
      <c r="C34" s="571">
        <f>SUM(D34,G34)</f>
        <v>7330</v>
      </c>
      <c r="D34" s="571">
        <f>SUM(E34:F34)</f>
        <v>7330</v>
      </c>
      <c r="E34" s="577">
        <v>1368</v>
      </c>
      <c r="F34" s="578">
        <v>5962</v>
      </c>
      <c r="G34" s="574" t="s">
        <v>221</v>
      </c>
      <c r="H34" s="571">
        <f>SUM(I34:J34)</f>
        <v>1190</v>
      </c>
      <c r="I34" s="577">
        <v>871</v>
      </c>
      <c r="J34" s="578">
        <v>319</v>
      </c>
      <c r="K34" s="574" t="s">
        <v>447</v>
      </c>
      <c r="L34" s="571">
        <f>SUM(M34:N34)</f>
        <v>51</v>
      </c>
      <c r="M34" s="577">
        <v>21</v>
      </c>
      <c r="N34" s="578">
        <v>30</v>
      </c>
    </row>
    <row r="35" spans="2:14" s="564" customFormat="1" ht="18" customHeight="1">
      <c r="B35" s="579" t="s">
        <v>300</v>
      </c>
      <c r="C35" s="580">
        <f>SUM(D35,G35)</f>
        <v>3725</v>
      </c>
      <c r="D35" s="580">
        <f>SUM(E35:F35)</f>
        <v>3725</v>
      </c>
      <c r="E35" s="581">
        <v>748</v>
      </c>
      <c r="F35" s="582">
        <v>2977</v>
      </c>
      <c r="G35" s="583" t="s">
        <v>221</v>
      </c>
      <c r="H35" s="580">
        <f>SUM(I35:J35)</f>
        <v>753</v>
      </c>
      <c r="I35" s="581">
        <v>472</v>
      </c>
      <c r="J35" s="582">
        <v>281</v>
      </c>
      <c r="K35" s="583" t="s">
        <v>447</v>
      </c>
      <c r="L35" s="580">
        <f>SUM(M35:N35)</f>
        <v>23</v>
      </c>
      <c r="M35" s="581">
        <v>7</v>
      </c>
      <c r="N35" s="582">
        <v>16</v>
      </c>
    </row>
    <row r="36" spans="2:14" s="576" customFormat="1" ht="18" customHeight="1">
      <c r="B36" s="584" t="s">
        <v>17</v>
      </c>
      <c r="C36" s="585">
        <v>27731</v>
      </c>
      <c r="D36" s="585">
        <v>27731</v>
      </c>
      <c r="E36" s="586">
        <v>6059</v>
      </c>
      <c r="F36" s="587">
        <v>21672</v>
      </c>
      <c r="G36" s="588" t="s">
        <v>221</v>
      </c>
      <c r="H36" s="585">
        <v>4585</v>
      </c>
      <c r="I36" s="586">
        <v>3431</v>
      </c>
      <c r="J36" s="587">
        <v>1154</v>
      </c>
      <c r="K36" s="588" t="s">
        <v>221</v>
      </c>
      <c r="L36" s="585">
        <v>208</v>
      </c>
      <c r="M36" s="586">
        <v>63</v>
      </c>
      <c r="N36" s="587">
        <v>145</v>
      </c>
    </row>
    <row r="37" spans="2:14" s="576" customFormat="1" ht="18" customHeight="1">
      <c r="B37" s="584" t="s">
        <v>24</v>
      </c>
      <c r="C37" s="585">
        <v>25479</v>
      </c>
      <c r="D37" s="585">
        <v>25479</v>
      </c>
      <c r="E37" s="586">
        <v>5625</v>
      </c>
      <c r="F37" s="587">
        <v>19854</v>
      </c>
      <c r="G37" s="588" t="s">
        <v>221</v>
      </c>
      <c r="H37" s="585">
        <v>4284</v>
      </c>
      <c r="I37" s="586">
        <v>3383</v>
      </c>
      <c r="J37" s="587">
        <v>901</v>
      </c>
      <c r="K37" s="588" t="s">
        <v>221</v>
      </c>
      <c r="L37" s="585">
        <v>199</v>
      </c>
      <c r="M37" s="586">
        <v>64</v>
      </c>
      <c r="N37" s="587">
        <v>135</v>
      </c>
    </row>
    <row r="38" spans="2:14" s="576" customFormat="1" ht="18" customHeight="1">
      <c r="B38" s="584" t="s">
        <v>25</v>
      </c>
      <c r="C38" s="585">
        <v>23565</v>
      </c>
      <c r="D38" s="585">
        <v>23565</v>
      </c>
      <c r="E38" s="586">
        <v>5145</v>
      </c>
      <c r="F38" s="587">
        <v>18420</v>
      </c>
      <c r="G38" s="588" t="s">
        <v>221</v>
      </c>
      <c r="H38" s="585">
        <v>954</v>
      </c>
      <c r="I38" s="586">
        <v>719</v>
      </c>
      <c r="J38" s="587">
        <v>235</v>
      </c>
      <c r="K38" s="589"/>
      <c r="L38" s="585">
        <v>180</v>
      </c>
      <c r="M38" s="586">
        <v>54</v>
      </c>
      <c r="N38" s="587">
        <v>126</v>
      </c>
    </row>
    <row r="39" spans="2:14" s="576" customFormat="1" ht="18" customHeight="1">
      <c r="B39" s="584" t="s">
        <v>26</v>
      </c>
      <c r="C39" s="585">
        <v>21664</v>
      </c>
      <c r="D39" s="585">
        <v>21664</v>
      </c>
      <c r="E39" s="586">
        <v>4539</v>
      </c>
      <c r="F39" s="587">
        <v>17125</v>
      </c>
      <c r="G39" s="588" t="s">
        <v>221</v>
      </c>
      <c r="H39" s="585">
        <v>3270</v>
      </c>
      <c r="I39" s="586">
        <v>2681</v>
      </c>
      <c r="J39" s="587">
        <v>589</v>
      </c>
      <c r="K39" s="589"/>
      <c r="L39" s="585">
        <v>177</v>
      </c>
      <c r="M39" s="586">
        <v>48</v>
      </c>
      <c r="N39" s="587">
        <v>129</v>
      </c>
    </row>
    <row r="40" spans="2:14" s="576" customFormat="1" ht="18" customHeight="1">
      <c r="B40" s="584" t="s">
        <v>29</v>
      </c>
      <c r="C40" s="585">
        <v>19358</v>
      </c>
      <c r="D40" s="585">
        <v>19358</v>
      </c>
      <c r="E40" s="586">
        <v>4003</v>
      </c>
      <c r="F40" s="587">
        <v>15355</v>
      </c>
      <c r="G40" s="588" t="s">
        <v>221</v>
      </c>
      <c r="H40" s="585">
        <v>2989</v>
      </c>
      <c r="I40" s="586">
        <v>2533</v>
      </c>
      <c r="J40" s="587">
        <v>456</v>
      </c>
      <c r="K40" s="589"/>
      <c r="L40" s="585">
        <v>169</v>
      </c>
      <c r="M40" s="586">
        <v>46</v>
      </c>
      <c r="N40" s="587">
        <v>123</v>
      </c>
    </row>
    <row r="41" spans="2:14" s="576" customFormat="1" ht="18" customHeight="1">
      <c r="B41" s="584" t="s">
        <v>30</v>
      </c>
      <c r="C41" s="585">
        <v>17800</v>
      </c>
      <c r="D41" s="585">
        <v>17800</v>
      </c>
      <c r="E41" s="586">
        <v>3658</v>
      </c>
      <c r="F41" s="587">
        <v>14142</v>
      </c>
      <c r="G41" s="588" t="s">
        <v>221</v>
      </c>
      <c r="H41" s="585">
        <v>2771</v>
      </c>
      <c r="I41" s="586">
        <v>2394</v>
      </c>
      <c r="J41" s="587">
        <v>377</v>
      </c>
      <c r="K41" s="589"/>
      <c r="L41" s="585">
        <v>162</v>
      </c>
      <c r="M41" s="586">
        <v>46</v>
      </c>
      <c r="N41" s="587">
        <v>116</v>
      </c>
    </row>
    <row r="42" spans="2:14" s="576" customFormat="1" ht="18" customHeight="1">
      <c r="B42" s="584" t="s">
        <v>32</v>
      </c>
      <c r="C42" s="585">
        <f>SUM(E42:G42)</f>
        <v>15886</v>
      </c>
      <c r="D42" s="585">
        <f>SUM(E42:F42)</f>
        <v>15886</v>
      </c>
      <c r="E42" s="586">
        <v>3507</v>
      </c>
      <c r="F42" s="587">
        <v>12379</v>
      </c>
      <c r="G42" s="588" t="s">
        <v>221</v>
      </c>
      <c r="H42" s="585">
        <f>SUM(I42:J42)</f>
        <v>2389</v>
      </c>
      <c r="I42" s="586">
        <v>2091</v>
      </c>
      <c r="J42" s="587">
        <v>298</v>
      </c>
      <c r="K42" s="589"/>
      <c r="L42" s="585">
        <f>SUM(M42:N42)</f>
        <v>152</v>
      </c>
      <c r="M42" s="586">
        <v>106</v>
      </c>
      <c r="N42" s="587">
        <v>46</v>
      </c>
    </row>
    <row r="43" spans="2:14" s="576" customFormat="1" ht="18" customHeight="1">
      <c r="B43" s="584" t="s">
        <v>33</v>
      </c>
      <c r="C43" s="585">
        <f>SUM(E43:G43)</f>
        <v>13830</v>
      </c>
      <c r="D43" s="585">
        <f>SUM(E43:F43)</f>
        <v>13830</v>
      </c>
      <c r="E43" s="586">
        <v>3069</v>
      </c>
      <c r="F43" s="587">
        <v>10761</v>
      </c>
      <c r="G43" s="588" t="s">
        <v>221</v>
      </c>
      <c r="H43" s="585">
        <f>SUM(I43:J43)</f>
        <v>2200</v>
      </c>
      <c r="I43" s="586">
        <v>1971</v>
      </c>
      <c r="J43" s="587">
        <v>229</v>
      </c>
      <c r="K43" s="589"/>
      <c r="L43" s="585">
        <f>SUM(M43:N43)</f>
        <v>144</v>
      </c>
      <c r="M43" s="586">
        <v>46</v>
      </c>
      <c r="N43" s="587">
        <v>98</v>
      </c>
    </row>
    <row r="44" spans="2:14" s="576" customFormat="1" ht="18" customHeight="1">
      <c r="B44" s="584" t="s">
        <v>34</v>
      </c>
      <c r="C44" s="585">
        <f>SUM(E44:G44)</f>
        <v>11405</v>
      </c>
      <c r="D44" s="585">
        <v>11405</v>
      </c>
      <c r="E44" s="586">
        <v>2679</v>
      </c>
      <c r="F44" s="587">
        <v>8726</v>
      </c>
      <c r="G44" s="588" t="s">
        <v>221</v>
      </c>
      <c r="H44" s="585">
        <f>SUM(I44:J44)</f>
        <v>1836</v>
      </c>
      <c r="I44" s="586">
        <v>1671</v>
      </c>
      <c r="J44" s="587">
        <v>165</v>
      </c>
      <c r="K44" s="589"/>
      <c r="L44" s="585">
        <f>SUM(M44:N44)</f>
        <v>140</v>
      </c>
      <c r="M44" s="586">
        <v>45</v>
      </c>
      <c r="N44" s="587">
        <v>95</v>
      </c>
    </row>
    <row r="45" spans="2:14" s="576" customFormat="1" ht="18" customHeight="1">
      <c r="B45" s="584" t="s">
        <v>35</v>
      </c>
      <c r="C45" s="585">
        <f>SUM(E45:G45)</f>
        <v>9860</v>
      </c>
      <c r="D45" s="585">
        <v>9860</v>
      </c>
      <c r="E45" s="586">
        <v>2385</v>
      </c>
      <c r="F45" s="587">
        <v>7475</v>
      </c>
      <c r="G45" s="588" t="s">
        <v>221</v>
      </c>
      <c r="H45" s="585">
        <f>SUM(I45:J45)</f>
        <v>1652</v>
      </c>
      <c r="I45" s="586">
        <v>1525</v>
      </c>
      <c r="J45" s="587">
        <v>127</v>
      </c>
      <c r="K45" s="589"/>
      <c r="L45" s="585">
        <f>SUM(M45:N45)</f>
        <v>132</v>
      </c>
      <c r="M45" s="586">
        <v>44</v>
      </c>
      <c r="N45" s="587">
        <v>88</v>
      </c>
    </row>
    <row r="46" spans="2:14" s="564" customFormat="1" ht="15" customHeight="1">
      <c r="B46" s="590" t="s">
        <v>448</v>
      </c>
      <c r="E46" s="591"/>
      <c r="F46" s="591"/>
      <c r="G46" s="591"/>
      <c r="H46" s="591"/>
      <c r="I46" s="591"/>
      <c r="J46" s="591"/>
      <c r="K46" s="591"/>
      <c r="L46" s="591"/>
      <c r="M46" s="591"/>
      <c r="N46" s="592" t="s">
        <v>449</v>
      </c>
    </row>
    <row r="47" spans="10:14" s="590" customFormat="1" ht="15" customHeight="1">
      <c r="J47" s="593"/>
      <c r="K47" s="593"/>
      <c r="N47" s="592" t="s">
        <v>192</v>
      </c>
    </row>
    <row r="48" spans="10:11" ht="11.25">
      <c r="J48" s="593"/>
      <c r="K48" s="593"/>
    </row>
    <row r="49" spans="10:11" ht="11.25">
      <c r="J49" s="593"/>
      <c r="K49" s="593"/>
    </row>
    <row r="50" spans="10:11" ht="11.25">
      <c r="J50" s="593"/>
      <c r="K50" s="593"/>
    </row>
    <row r="51" spans="10:11" ht="11.25">
      <c r="J51" s="593"/>
      <c r="K51" s="593"/>
    </row>
    <row r="52" spans="10:11" ht="11.25">
      <c r="J52" s="593"/>
      <c r="K52" s="593"/>
    </row>
  </sheetData>
  <sheetProtection/>
  <mergeCells count="6">
    <mergeCell ref="C3:G3"/>
    <mergeCell ref="H3:J4"/>
    <mergeCell ref="K3:K5"/>
    <mergeCell ref="L3:N4"/>
    <mergeCell ref="D4:F4"/>
    <mergeCell ref="G4:G5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scale="97" r:id="rId1"/>
  <headerFooter alignWithMargins="0">
    <oddHeader>&amp;R15.交通・通信</oddHeader>
    <oddFooter>&amp;C-110-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PageLayoutView="0" workbookViewId="0" topLeftCell="A15">
      <selection activeCell="B41" sqref="B41:B42"/>
    </sheetView>
  </sheetViews>
  <sheetFormatPr defaultColWidth="9.00390625" defaultRowHeight="13.5"/>
  <cols>
    <col min="1" max="1" width="3.625" style="53" customWidth="1"/>
    <col min="2" max="2" width="13.625" style="635" customWidth="1"/>
    <col min="3" max="3" width="15.625" style="53" customWidth="1"/>
    <col min="4" max="4" width="14.625" style="53" customWidth="1"/>
    <col min="5" max="7" width="12.625" style="53" customWidth="1"/>
    <col min="8" max="16384" width="9.00390625" style="53" customWidth="1"/>
  </cols>
  <sheetData>
    <row r="1" spans="1:7" s="597" customFormat="1" ht="30" customHeight="1">
      <c r="A1" s="594" t="s">
        <v>450</v>
      </c>
      <c r="B1" s="595"/>
      <c r="C1" s="596"/>
      <c r="D1" s="596"/>
      <c r="E1" s="596"/>
      <c r="F1" s="596"/>
      <c r="G1" s="596"/>
    </row>
    <row r="2" spans="2:7" s="597" customFormat="1" ht="18" customHeight="1">
      <c r="B2" s="597" t="s">
        <v>436</v>
      </c>
      <c r="C2" s="598"/>
      <c r="D2" s="598"/>
      <c r="E2" s="598"/>
      <c r="F2" s="598"/>
      <c r="G2" s="598"/>
    </row>
    <row r="3" spans="2:7" s="597" customFormat="1" ht="18" customHeight="1">
      <c r="B3" s="45" t="s">
        <v>451</v>
      </c>
      <c r="C3" s="599" t="s">
        <v>452</v>
      </c>
      <c r="D3" s="600" t="s">
        <v>453</v>
      </c>
      <c r="E3" s="601"/>
      <c r="F3" s="602"/>
      <c r="G3" s="603" t="s">
        <v>454</v>
      </c>
    </row>
    <row r="4" spans="2:7" s="597" customFormat="1" ht="18" customHeight="1">
      <c r="B4" s="46"/>
      <c r="C4" s="604"/>
      <c r="D4" s="605"/>
      <c r="E4" s="606" t="s">
        <v>455</v>
      </c>
      <c r="F4" s="607" t="s">
        <v>456</v>
      </c>
      <c r="G4" s="608" t="s">
        <v>457</v>
      </c>
    </row>
    <row r="5" spans="2:7" s="61" customFormat="1" ht="15" customHeight="1">
      <c r="B5" s="6" t="s">
        <v>458</v>
      </c>
      <c r="C5" s="609">
        <f>SUM(C6:C9)</f>
        <v>6466</v>
      </c>
      <c r="D5" s="610">
        <f>SUM(D6:D9)</f>
        <v>2313</v>
      </c>
      <c r="E5" s="611"/>
      <c r="F5" s="612"/>
      <c r="G5" s="613">
        <f aca="true" t="shared" si="0" ref="G5:G68">ROUND(D5/C5*100,1)</f>
        <v>35.8</v>
      </c>
    </row>
    <row r="6" spans="2:7" s="61" customFormat="1" ht="15" customHeight="1" hidden="1">
      <c r="B6" s="3" t="s">
        <v>8</v>
      </c>
      <c r="C6" s="614" t="s">
        <v>459</v>
      </c>
      <c r="D6" s="615" t="s">
        <v>459</v>
      </c>
      <c r="E6" s="616" t="s">
        <v>460</v>
      </c>
      <c r="F6" s="617" t="s">
        <v>460</v>
      </c>
      <c r="G6" s="618" t="s">
        <v>459</v>
      </c>
    </row>
    <row r="7" spans="2:7" s="61" customFormat="1" ht="15" customHeight="1" hidden="1">
      <c r="B7" s="3" t="s">
        <v>9</v>
      </c>
      <c r="C7" s="619">
        <v>3373</v>
      </c>
      <c r="D7" s="620">
        <v>1315</v>
      </c>
      <c r="E7" s="621">
        <v>1306</v>
      </c>
      <c r="F7" s="622">
        <v>523</v>
      </c>
      <c r="G7" s="623">
        <f t="shared" si="0"/>
        <v>39</v>
      </c>
    </row>
    <row r="8" spans="2:7" s="61" customFormat="1" ht="15" customHeight="1" hidden="1">
      <c r="B8" s="3" t="s">
        <v>11</v>
      </c>
      <c r="C8" s="619">
        <v>3093</v>
      </c>
      <c r="D8" s="620">
        <v>998</v>
      </c>
      <c r="E8" s="621">
        <v>981</v>
      </c>
      <c r="F8" s="622">
        <v>430</v>
      </c>
      <c r="G8" s="623">
        <f t="shared" si="0"/>
        <v>32.3</v>
      </c>
    </row>
    <row r="9" spans="2:7" s="61" customFormat="1" ht="15" customHeight="1" hidden="1">
      <c r="B9" s="4" t="s">
        <v>10</v>
      </c>
      <c r="C9" s="624" t="s">
        <v>459</v>
      </c>
      <c r="D9" s="625" t="s">
        <v>459</v>
      </c>
      <c r="E9" s="626" t="s">
        <v>460</v>
      </c>
      <c r="F9" s="627" t="s">
        <v>460</v>
      </c>
      <c r="G9" s="628" t="s">
        <v>459</v>
      </c>
    </row>
    <row r="10" spans="2:7" s="61" customFormat="1" ht="15" customHeight="1">
      <c r="B10" s="6" t="s">
        <v>461</v>
      </c>
      <c r="C10" s="609">
        <f>SUM(C11:C14)</f>
        <v>14074</v>
      </c>
      <c r="D10" s="610">
        <f>SUM(D11:D14)</f>
        <v>5611</v>
      </c>
      <c r="E10" s="611"/>
      <c r="F10" s="612"/>
      <c r="G10" s="613">
        <f t="shared" si="0"/>
        <v>39.9</v>
      </c>
    </row>
    <row r="11" spans="2:7" s="61" customFormat="1" ht="15" customHeight="1" hidden="1">
      <c r="B11" s="3" t="s">
        <v>8</v>
      </c>
      <c r="C11" s="614" t="s">
        <v>22</v>
      </c>
      <c r="D11" s="615" t="s">
        <v>22</v>
      </c>
      <c r="E11" s="616" t="s">
        <v>460</v>
      </c>
      <c r="F11" s="617" t="s">
        <v>460</v>
      </c>
      <c r="G11" s="618" t="s">
        <v>22</v>
      </c>
    </row>
    <row r="12" spans="2:7" s="61" customFormat="1" ht="15" customHeight="1" hidden="1">
      <c r="B12" s="3" t="s">
        <v>9</v>
      </c>
      <c r="C12" s="619">
        <v>8283</v>
      </c>
      <c r="D12" s="620">
        <v>3456</v>
      </c>
      <c r="E12" s="621">
        <v>3420</v>
      </c>
      <c r="F12" s="622">
        <v>1476</v>
      </c>
      <c r="G12" s="623">
        <f t="shared" si="0"/>
        <v>41.7</v>
      </c>
    </row>
    <row r="13" spans="2:7" s="61" customFormat="1" ht="15" customHeight="1" hidden="1">
      <c r="B13" s="3" t="s">
        <v>11</v>
      </c>
      <c r="C13" s="619">
        <v>5791</v>
      </c>
      <c r="D13" s="620">
        <v>2155</v>
      </c>
      <c r="E13" s="621">
        <v>2144</v>
      </c>
      <c r="F13" s="622">
        <v>963</v>
      </c>
      <c r="G13" s="623">
        <f t="shared" si="0"/>
        <v>37.2</v>
      </c>
    </row>
    <row r="14" spans="2:7" s="61" customFormat="1" ht="15" customHeight="1" hidden="1">
      <c r="B14" s="4" t="s">
        <v>10</v>
      </c>
      <c r="C14" s="624" t="s">
        <v>22</v>
      </c>
      <c r="D14" s="625" t="s">
        <v>22</v>
      </c>
      <c r="E14" s="626" t="s">
        <v>460</v>
      </c>
      <c r="F14" s="627" t="s">
        <v>460</v>
      </c>
      <c r="G14" s="628" t="s">
        <v>22</v>
      </c>
    </row>
    <row r="15" spans="2:7" s="629" customFormat="1" ht="15" customHeight="1">
      <c r="B15" s="6" t="s">
        <v>462</v>
      </c>
      <c r="C15" s="609">
        <f>SUM(C16:C19)</f>
        <v>22923</v>
      </c>
      <c r="D15" s="610">
        <f>SUM(D16:D19)</f>
        <v>10370</v>
      </c>
      <c r="E15" s="611">
        <f>SUM(E16:E19)</f>
        <v>10212</v>
      </c>
      <c r="F15" s="612">
        <f>SUM(F16:F19)</f>
        <v>4332</v>
      </c>
      <c r="G15" s="613">
        <f t="shared" si="0"/>
        <v>45.2</v>
      </c>
    </row>
    <row r="16" spans="2:7" s="61" customFormat="1" ht="15" customHeight="1" hidden="1">
      <c r="B16" s="3" t="s">
        <v>8</v>
      </c>
      <c r="C16" s="619">
        <v>4703</v>
      </c>
      <c r="D16" s="620">
        <v>2108</v>
      </c>
      <c r="E16" s="621">
        <v>2104</v>
      </c>
      <c r="F16" s="622">
        <v>393</v>
      </c>
      <c r="G16" s="623">
        <f t="shared" si="0"/>
        <v>44.8</v>
      </c>
    </row>
    <row r="17" spans="2:7" s="61" customFormat="1" ht="15" customHeight="1" hidden="1">
      <c r="B17" s="3" t="s">
        <v>9</v>
      </c>
      <c r="C17" s="619">
        <v>9268</v>
      </c>
      <c r="D17" s="620">
        <v>4683</v>
      </c>
      <c r="E17" s="621">
        <v>4617</v>
      </c>
      <c r="F17" s="622">
        <v>2122</v>
      </c>
      <c r="G17" s="623">
        <f t="shared" si="0"/>
        <v>50.5</v>
      </c>
    </row>
    <row r="18" spans="2:7" s="61" customFormat="1" ht="15" customHeight="1" hidden="1">
      <c r="B18" s="3" t="s">
        <v>11</v>
      </c>
      <c r="C18" s="619">
        <v>7128</v>
      </c>
      <c r="D18" s="620">
        <v>2901</v>
      </c>
      <c r="E18" s="621">
        <v>2826</v>
      </c>
      <c r="F18" s="622">
        <v>1429</v>
      </c>
      <c r="G18" s="623">
        <f t="shared" si="0"/>
        <v>40.7</v>
      </c>
    </row>
    <row r="19" spans="2:7" s="61" customFormat="1" ht="15" customHeight="1" hidden="1">
      <c r="B19" s="4" t="s">
        <v>10</v>
      </c>
      <c r="C19" s="630">
        <v>1824</v>
      </c>
      <c r="D19" s="631">
        <v>678</v>
      </c>
      <c r="E19" s="632">
        <v>665</v>
      </c>
      <c r="F19" s="633">
        <v>388</v>
      </c>
      <c r="G19" s="634">
        <f t="shared" si="0"/>
        <v>37.2</v>
      </c>
    </row>
    <row r="20" spans="2:7" s="61" customFormat="1" ht="15" customHeight="1">
      <c r="B20" s="6" t="s">
        <v>463</v>
      </c>
      <c r="C20" s="609">
        <f>SUM(C21:C24)</f>
        <v>24508</v>
      </c>
      <c r="D20" s="610">
        <f>SUM(D21:D24)</f>
        <v>12062</v>
      </c>
      <c r="E20" s="611">
        <f>SUM(E21:E24)</f>
        <v>11861</v>
      </c>
      <c r="F20" s="612">
        <f>SUM(F21:F24)</f>
        <v>5319</v>
      </c>
      <c r="G20" s="613">
        <f t="shared" si="0"/>
        <v>49.2</v>
      </c>
    </row>
    <row r="21" spans="2:7" s="61" customFormat="1" ht="15" customHeight="1" hidden="1">
      <c r="B21" s="3" t="s">
        <v>8</v>
      </c>
      <c r="C21" s="619">
        <v>5402</v>
      </c>
      <c r="D21" s="620">
        <v>2551</v>
      </c>
      <c r="E21" s="621">
        <v>2541</v>
      </c>
      <c r="F21" s="622">
        <v>589</v>
      </c>
      <c r="G21" s="623">
        <f t="shared" si="0"/>
        <v>47.2</v>
      </c>
    </row>
    <row r="22" spans="2:7" s="61" customFormat="1" ht="15" customHeight="1" hidden="1">
      <c r="B22" s="3" t="s">
        <v>9</v>
      </c>
      <c r="C22" s="619">
        <v>9268</v>
      </c>
      <c r="D22" s="620">
        <v>5271</v>
      </c>
      <c r="E22" s="621">
        <v>5183</v>
      </c>
      <c r="F22" s="622">
        <v>2511</v>
      </c>
      <c r="G22" s="623">
        <f t="shared" si="0"/>
        <v>56.9</v>
      </c>
    </row>
    <row r="23" spans="2:7" s="61" customFormat="1" ht="15" customHeight="1" hidden="1">
      <c r="B23" s="3" t="s">
        <v>11</v>
      </c>
      <c r="C23" s="619">
        <v>7321</v>
      </c>
      <c r="D23" s="620">
        <v>3286</v>
      </c>
      <c r="E23" s="621">
        <v>3209</v>
      </c>
      <c r="F23" s="622">
        <v>1670</v>
      </c>
      <c r="G23" s="623">
        <f t="shared" si="0"/>
        <v>44.9</v>
      </c>
    </row>
    <row r="24" spans="2:7" s="61" customFormat="1" ht="15" customHeight="1" hidden="1">
      <c r="B24" s="4" t="s">
        <v>10</v>
      </c>
      <c r="C24" s="630">
        <v>2517</v>
      </c>
      <c r="D24" s="631">
        <v>954</v>
      </c>
      <c r="E24" s="632">
        <v>928</v>
      </c>
      <c r="F24" s="633">
        <v>549</v>
      </c>
      <c r="G24" s="634">
        <f t="shared" si="0"/>
        <v>37.9</v>
      </c>
    </row>
    <row r="25" spans="2:7" s="61" customFormat="1" ht="15" customHeight="1">
      <c r="B25" s="6" t="s">
        <v>464</v>
      </c>
      <c r="C25" s="609">
        <f>SUM(C26:C29)</f>
        <v>28160</v>
      </c>
      <c r="D25" s="610">
        <f>SUM(D26:D29)</f>
        <v>13885</v>
      </c>
      <c r="E25" s="611">
        <f>SUM(E26:E29)</f>
        <v>13642</v>
      </c>
      <c r="F25" s="612">
        <f>SUM(F26:F29)</f>
        <v>6401</v>
      </c>
      <c r="G25" s="613">
        <f t="shared" si="0"/>
        <v>49.3</v>
      </c>
    </row>
    <row r="26" spans="2:7" s="61" customFormat="1" ht="13.5" customHeight="1" hidden="1">
      <c r="B26" s="3" t="s">
        <v>8</v>
      </c>
      <c r="C26" s="619">
        <v>7254</v>
      </c>
      <c r="D26" s="620">
        <v>3248</v>
      </c>
      <c r="E26" s="621">
        <v>3226</v>
      </c>
      <c r="F26" s="622">
        <v>920</v>
      </c>
      <c r="G26" s="623">
        <f t="shared" si="0"/>
        <v>44.8</v>
      </c>
    </row>
    <row r="27" spans="2:7" s="61" customFormat="1" ht="13.5" customHeight="1" hidden="1">
      <c r="B27" s="3" t="s">
        <v>9</v>
      </c>
      <c r="C27" s="619">
        <v>9849</v>
      </c>
      <c r="D27" s="620">
        <v>5686</v>
      </c>
      <c r="E27" s="621">
        <v>5598</v>
      </c>
      <c r="F27" s="622">
        <v>2803</v>
      </c>
      <c r="G27" s="623">
        <f t="shared" si="0"/>
        <v>57.7</v>
      </c>
    </row>
    <row r="28" spans="2:7" s="61" customFormat="1" ht="13.5" customHeight="1" hidden="1">
      <c r="B28" s="3" t="s">
        <v>11</v>
      </c>
      <c r="C28" s="619">
        <v>7476</v>
      </c>
      <c r="D28" s="620">
        <v>3618</v>
      </c>
      <c r="E28" s="621">
        <v>3536</v>
      </c>
      <c r="F28" s="622">
        <v>1861</v>
      </c>
      <c r="G28" s="623">
        <f t="shared" si="0"/>
        <v>48.4</v>
      </c>
    </row>
    <row r="29" spans="2:7" s="61" customFormat="1" ht="13.5" customHeight="1" hidden="1">
      <c r="B29" s="4" t="s">
        <v>10</v>
      </c>
      <c r="C29" s="630">
        <v>3581</v>
      </c>
      <c r="D29" s="631">
        <v>1333</v>
      </c>
      <c r="E29" s="632">
        <v>1282</v>
      </c>
      <c r="F29" s="633">
        <v>817</v>
      </c>
      <c r="G29" s="634">
        <f t="shared" si="0"/>
        <v>37.2</v>
      </c>
    </row>
    <row r="30" spans="2:7" s="61" customFormat="1" ht="15" customHeight="1">
      <c r="B30" s="6" t="s">
        <v>465</v>
      </c>
      <c r="C30" s="609">
        <f>SUM(C31:C34)</f>
        <v>28160</v>
      </c>
      <c r="D30" s="610">
        <f>SUM(D31:D34)</f>
        <v>15016</v>
      </c>
      <c r="E30" s="611">
        <f>SUM(E31:E34)</f>
        <v>14732</v>
      </c>
      <c r="F30" s="612">
        <f>SUM(F31:F34)</f>
        <v>6975</v>
      </c>
      <c r="G30" s="613">
        <f t="shared" si="0"/>
        <v>53.3</v>
      </c>
    </row>
    <row r="31" spans="2:7" s="61" customFormat="1" ht="13.5" customHeight="1">
      <c r="B31" s="3" t="s">
        <v>8</v>
      </c>
      <c r="C31" s="619">
        <v>7254</v>
      </c>
      <c r="D31" s="620">
        <v>3560</v>
      </c>
      <c r="E31" s="621">
        <v>3514</v>
      </c>
      <c r="F31" s="622">
        <v>1105</v>
      </c>
      <c r="G31" s="623">
        <f t="shared" si="0"/>
        <v>49.1</v>
      </c>
    </row>
    <row r="32" spans="2:7" s="61" customFormat="1" ht="13.5" customHeight="1">
      <c r="B32" s="3" t="s">
        <v>9</v>
      </c>
      <c r="C32" s="619">
        <v>9849</v>
      </c>
      <c r="D32" s="620">
        <v>6004</v>
      </c>
      <c r="E32" s="621">
        <v>5909</v>
      </c>
      <c r="F32" s="622">
        <v>2976</v>
      </c>
      <c r="G32" s="623">
        <f t="shared" si="0"/>
        <v>61</v>
      </c>
    </row>
    <row r="33" spans="2:7" s="61" customFormat="1" ht="13.5" customHeight="1">
      <c r="B33" s="3" t="s">
        <v>11</v>
      </c>
      <c r="C33" s="619">
        <v>7476</v>
      </c>
      <c r="D33" s="620">
        <v>3939</v>
      </c>
      <c r="E33" s="621">
        <v>3847</v>
      </c>
      <c r="F33" s="622">
        <v>1987</v>
      </c>
      <c r="G33" s="623">
        <f t="shared" si="0"/>
        <v>52.7</v>
      </c>
    </row>
    <row r="34" spans="2:7" s="61" customFormat="1" ht="13.5" customHeight="1">
      <c r="B34" s="4" t="s">
        <v>10</v>
      </c>
      <c r="C34" s="630">
        <v>3581</v>
      </c>
      <c r="D34" s="631">
        <v>1513</v>
      </c>
      <c r="E34" s="632">
        <v>1462</v>
      </c>
      <c r="F34" s="633">
        <v>907</v>
      </c>
      <c r="G34" s="634">
        <f t="shared" si="0"/>
        <v>42.3</v>
      </c>
    </row>
    <row r="35" spans="2:7" s="61" customFormat="1" ht="15" customHeight="1">
      <c r="B35" s="6" t="s">
        <v>466</v>
      </c>
      <c r="C35" s="609">
        <f>SUM(C36:C39)</f>
        <v>28160</v>
      </c>
      <c r="D35" s="610">
        <f>SUM(D36:D39)</f>
        <v>15948</v>
      </c>
      <c r="E35" s="611">
        <f>SUM(E36:E39)</f>
        <v>15630</v>
      </c>
      <c r="F35" s="612">
        <f>SUM(F36:F39)</f>
        <v>7182</v>
      </c>
      <c r="G35" s="613">
        <f t="shared" si="0"/>
        <v>56.6</v>
      </c>
    </row>
    <row r="36" spans="2:7" s="61" customFormat="1" ht="13.5" customHeight="1">
      <c r="B36" s="3" t="s">
        <v>8</v>
      </c>
      <c r="C36" s="619">
        <v>7254</v>
      </c>
      <c r="D36" s="620">
        <v>3847</v>
      </c>
      <c r="E36" s="621">
        <v>3790</v>
      </c>
      <c r="F36" s="622">
        <v>1181</v>
      </c>
      <c r="G36" s="623">
        <f t="shared" si="0"/>
        <v>53</v>
      </c>
    </row>
    <row r="37" spans="2:7" s="61" customFormat="1" ht="13.5" customHeight="1">
      <c r="B37" s="3" t="s">
        <v>9</v>
      </c>
      <c r="C37" s="619">
        <v>9849</v>
      </c>
      <c r="D37" s="620">
        <v>6294</v>
      </c>
      <c r="E37" s="621">
        <v>6192</v>
      </c>
      <c r="F37" s="622">
        <v>3015</v>
      </c>
      <c r="G37" s="623">
        <f t="shared" si="0"/>
        <v>63.9</v>
      </c>
    </row>
    <row r="38" spans="2:7" s="61" customFormat="1" ht="13.5" customHeight="1">
      <c r="B38" s="3" t="s">
        <v>11</v>
      </c>
      <c r="C38" s="619">
        <v>7476</v>
      </c>
      <c r="D38" s="620">
        <v>4178</v>
      </c>
      <c r="E38" s="621">
        <v>4081</v>
      </c>
      <c r="F38" s="622">
        <v>2040</v>
      </c>
      <c r="G38" s="623">
        <f t="shared" si="0"/>
        <v>55.9</v>
      </c>
    </row>
    <row r="39" spans="2:7" s="61" customFormat="1" ht="13.5" customHeight="1">
      <c r="B39" s="4" t="s">
        <v>10</v>
      </c>
      <c r="C39" s="630">
        <v>3581</v>
      </c>
      <c r="D39" s="631">
        <v>1629</v>
      </c>
      <c r="E39" s="632">
        <v>1567</v>
      </c>
      <c r="F39" s="633">
        <v>946</v>
      </c>
      <c r="G39" s="634">
        <f t="shared" si="0"/>
        <v>45.5</v>
      </c>
    </row>
    <row r="40" spans="2:7" s="61" customFormat="1" ht="15" customHeight="1">
      <c r="B40" s="6" t="s">
        <v>467</v>
      </c>
      <c r="C40" s="609">
        <f>SUM(C41:C44)</f>
        <v>28160</v>
      </c>
      <c r="D40" s="610">
        <f>SUM(D41:D44)</f>
        <v>16699</v>
      </c>
      <c r="E40" s="611">
        <f>SUM(E41:E44)</f>
        <v>16347</v>
      </c>
      <c r="F40" s="612">
        <f>SUM(F41:F44)</f>
        <v>7452</v>
      </c>
      <c r="G40" s="613">
        <f t="shared" si="0"/>
        <v>59.3</v>
      </c>
    </row>
    <row r="41" spans="2:7" s="61" customFormat="1" ht="13.5" customHeight="1">
      <c r="B41" s="3" t="s">
        <v>8</v>
      </c>
      <c r="C41" s="619">
        <v>7254</v>
      </c>
      <c r="D41" s="620">
        <v>4043</v>
      </c>
      <c r="E41" s="621">
        <v>3979</v>
      </c>
      <c r="F41" s="622">
        <v>1277</v>
      </c>
      <c r="G41" s="623">
        <f t="shared" si="0"/>
        <v>55.7</v>
      </c>
    </row>
    <row r="42" spans="2:7" s="61" customFormat="1" ht="13.5" customHeight="1">
      <c r="B42" s="3" t="s">
        <v>9</v>
      </c>
      <c r="C42" s="619">
        <v>9849</v>
      </c>
      <c r="D42" s="620">
        <v>6473</v>
      </c>
      <c r="E42" s="621">
        <v>6363</v>
      </c>
      <c r="F42" s="622">
        <v>3068</v>
      </c>
      <c r="G42" s="623">
        <f t="shared" si="0"/>
        <v>65.7</v>
      </c>
    </row>
    <row r="43" spans="2:7" s="61" customFormat="1" ht="13.5" customHeight="1">
      <c r="B43" s="3" t="s">
        <v>11</v>
      </c>
      <c r="C43" s="619">
        <v>7476</v>
      </c>
      <c r="D43" s="620">
        <v>4438</v>
      </c>
      <c r="E43" s="621">
        <v>4333</v>
      </c>
      <c r="F43" s="622">
        <v>2090</v>
      </c>
      <c r="G43" s="623">
        <f t="shared" si="0"/>
        <v>59.4</v>
      </c>
    </row>
    <row r="44" spans="2:7" s="61" customFormat="1" ht="13.5" customHeight="1">
      <c r="B44" s="4" t="s">
        <v>10</v>
      </c>
      <c r="C44" s="630">
        <v>3581</v>
      </c>
      <c r="D44" s="631">
        <v>1745</v>
      </c>
      <c r="E44" s="632">
        <v>1672</v>
      </c>
      <c r="F44" s="633">
        <v>1017</v>
      </c>
      <c r="G44" s="634">
        <f t="shared" si="0"/>
        <v>48.7</v>
      </c>
    </row>
    <row r="45" spans="2:7" s="61" customFormat="1" ht="15" customHeight="1">
      <c r="B45" s="6" t="s">
        <v>468</v>
      </c>
      <c r="C45" s="609">
        <f>SUM(C46:C49)</f>
        <v>28160</v>
      </c>
      <c r="D45" s="610">
        <f>SUM(D46:D49)</f>
        <v>17448</v>
      </c>
      <c r="E45" s="611">
        <f>SUM(E46:E49)</f>
        <v>17075</v>
      </c>
      <c r="F45" s="612">
        <f>SUM(F46:F49)</f>
        <v>7713</v>
      </c>
      <c r="G45" s="613">
        <f t="shared" si="0"/>
        <v>62</v>
      </c>
    </row>
    <row r="46" spans="2:7" s="61" customFormat="1" ht="13.5" customHeight="1">
      <c r="B46" s="3" t="s">
        <v>8</v>
      </c>
      <c r="C46" s="619">
        <v>7254</v>
      </c>
      <c r="D46" s="620">
        <v>4226</v>
      </c>
      <c r="E46" s="621">
        <v>4155</v>
      </c>
      <c r="F46" s="622">
        <v>1356</v>
      </c>
      <c r="G46" s="623">
        <f t="shared" si="0"/>
        <v>58.3</v>
      </c>
    </row>
    <row r="47" spans="2:7" s="61" customFormat="1" ht="13.5" customHeight="1">
      <c r="B47" s="3" t="s">
        <v>9</v>
      </c>
      <c r="C47" s="619">
        <v>9849</v>
      </c>
      <c r="D47" s="620">
        <v>6619</v>
      </c>
      <c r="E47" s="621">
        <v>6508</v>
      </c>
      <c r="F47" s="622">
        <v>3101</v>
      </c>
      <c r="G47" s="623">
        <f t="shared" si="0"/>
        <v>67.2</v>
      </c>
    </row>
    <row r="48" spans="2:7" s="61" customFormat="1" ht="13.5" customHeight="1">
      <c r="B48" s="3" t="s">
        <v>11</v>
      </c>
      <c r="C48" s="619">
        <v>7476</v>
      </c>
      <c r="D48" s="620">
        <v>4688</v>
      </c>
      <c r="E48" s="621">
        <v>4573</v>
      </c>
      <c r="F48" s="622">
        <v>2164</v>
      </c>
      <c r="G48" s="623">
        <f t="shared" si="0"/>
        <v>62.7</v>
      </c>
    </row>
    <row r="49" spans="2:7" s="61" customFormat="1" ht="13.5" customHeight="1">
      <c r="B49" s="4" t="s">
        <v>10</v>
      </c>
      <c r="C49" s="630">
        <v>3581</v>
      </c>
      <c r="D49" s="631">
        <v>1915</v>
      </c>
      <c r="E49" s="632">
        <v>1839</v>
      </c>
      <c r="F49" s="633">
        <v>1092</v>
      </c>
      <c r="G49" s="634">
        <f t="shared" si="0"/>
        <v>53.5</v>
      </c>
    </row>
    <row r="50" spans="2:7" s="61" customFormat="1" ht="15" customHeight="1">
      <c r="B50" s="6" t="s">
        <v>469</v>
      </c>
      <c r="C50" s="609">
        <f>SUM(C51:C54)</f>
        <v>28160</v>
      </c>
      <c r="D50" s="610">
        <f>SUM(D51:D54)</f>
        <v>18424</v>
      </c>
      <c r="E50" s="611">
        <f>SUM(E51:E54)</f>
        <v>18035</v>
      </c>
      <c r="F50" s="612">
        <f>SUM(F51:F54)</f>
        <v>7869</v>
      </c>
      <c r="G50" s="613">
        <f t="shared" si="0"/>
        <v>65.4</v>
      </c>
    </row>
    <row r="51" spans="2:7" s="61" customFormat="1" ht="13.5" customHeight="1">
      <c r="B51" s="3" t="s">
        <v>8</v>
      </c>
      <c r="C51" s="619">
        <v>7254</v>
      </c>
      <c r="D51" s="620">
        <v>4478</v>
      </c>
      <c r="E51" s="621">
        <v>4401</v>
      </c>
      <c r="F51" s="622">
        <v>1428</v>
      </c>
      <c r="G51" s="623">
        <f t="shared" si="0"/>
        <v>61.7</v>
      </c>
    </row>
    <row r="52" spans="2:7" s="61" customFormat="1" ht="13.5" customHeight="1">
      <c r="B52" s="3" t="s">
        <v>9</v>
      </c>
      <c r="C52" s="619">
        <v>9849</v>
      </c>
      <c r="D52" s="620">
        <v>6787</v>
      </c>
      <c r="E52" s="621">
        <v>6678</v>
      </c>
      <c r="F52" s="622">
        <v>3089</v>
      </c>
      <c r="G52" s="623">
        <f t="shared" si="0"/>
        <v>68.9</v>
      </c>
    </row>
    <row r="53" spans="2:7" s="61" customFormat="1" ht="13.5" customHeight="1">
      <c r="B53" s="3" t="s">
        <v>11</v>
      </c>
      <c r="C53" s="619">
        <v>7476</v>
      </c>
      <c r="D53" s="620">
        <v>5020</v>
      </c>
      <c r="E53" s="621">
        <v>4902</v>
      </c>
      <c r="F53" s="622">
        <v>2153</v>
      </c>
      <c r="G53" s="623">
        <f t="shared" si="0"/>
        <v>67.1</v>
      </c>
    </row>
    <row r="54" spans="2:7" s="61" customFormat="1" ht="13.5" customHeight="1">
      <c r="B54" s="4" t="s">
        <v>10</v>
      </c>
      <c r="C54" s="630">
        <v>3581</v>
      </c>
      <c r="D54" s="631">
        <v>2139</v>
      </c>
      <c r="E54" s="632">
        <v>2054</v>
      </c>
      <c r="F54" s="633">
        <v>1199</v>
      </c>
      <c r="G54" s="634">
        <f t="shared" si="0"/>
        <v>59.7</v>
      </c>
    </row>
    <row r="55" spans="2:7" s="61" customFormat="1" ht="15" customHeight="1">
      <c r="B55" s="6" t="s">
        <v>470</v>
      </c>
      <c r="C55" s="609">
        <f>SUM(C56:C59)</f>
        <v>28160</v>
      </c>
      <c r="D55" s="610">
        <f>SUM(D56:D59)</f>
        <v>19435</v>
      </c>
      <c r="E55" s="611">
        <f>SUM(E56:E59)</f>
        <v>19035</v>
      </c>
      <c r="F55" s="612">
        <f>SUM(F56:F59)</f>
        <v>7977</v>
      </c>
      <c r="G55" s="613">
        <f t="shared" si="0"/>
        <v>69</v>
      </c>
    </row>
    <row r="56" spans="2:7" s="61" customFormat="1" ht="13.5" customHeight="1">
      <c r="B56" s="3" t="s">
        <v>8</v>
      </c>
      <c r="C56" s="619">
        <v>7254</v>
      </c>
      <c r="D56" s="620">
        <v>4741</v>
      </c>
      <c r="E56" s="621">
        <v>4660</v>
      </c>
      <c r="F56" s="622">
        <v>1515</v>
      </c>
      <c r="G56" s="623">
        <f t="shared" si="0"/>
        <v>65.4</v>
      </c>
    </row>
    <row r="57" spans="2:7" s="61" customFormat="1" ht="13.5" customHeight="1">
      <c r="B57" s="3" t="s">
        <v>9</v>
      </c>
      <c r="C57" s="619">
        <v>9849</v>
      </c>
      <c r="D57" s="620">
        <v>7012</v>
      </c>
      <c r="E57" s="621">
        <v>6906</v>
      </c>
      <c r="F57" s="622">
        <v>2987</v>
      </c>
      <c r="G57" s="623">
        <f t="shared" si="0"/>
        <v>71.2</v>
      </c>
    </row>
    <row r="58" spans="2:7" s="61" customFormat="1" ht="13.5" customHeight="1">
      <c r="B58" s="3" t="s">
        <v>11</v>
      </c>
      <c r="C58" s="619">
        <v>7476</v>
      </c>
      <c r="D58" s="620">
        <v>5343</v>
      </c>
      <c r="E58" s="621">
        <v>5223</v>
      </c>
      <c r="F58" s="622">
        <v>2160</v>
      </c>
      <c r="G58" s="623">
        <f t="shared" si="0"/>
        <v>71.5</v>
      </c>
    </row>
    <row r="59" spans="2:7" s="61" customFormat="1" ht="13.5" customHeight="1">
      <c r="B59" s="4" t="s">
        <v>10</v>
      </c>
      <c r="C59" s="630">
        <v>3581</v>
      </c>
      <c r="D59" s="631">
        <v>2339</v>
      </c>
      <c r="E59" s="632">
        <v>2246</v>
      </c>
      <c r="F59" s="633">
        <v>1315</v>
      </c>
      <c r="G59" s="634">
        <f t="shared" si="0"/>
        <v>65.3</v>
      </c>
    </row>
    <row r="60" spans="2:7" s="61" customFormat="1" ht="15" customHeight="1">
      <c r="B60" s="6" t="s">
        <v>471</v>
      </c>
      <c r="C60" s="609">
        <f>SUM(C61:C64)</f>
        <v>28160</v>
      </c>
      <c r="D60" s="610">
        <f>SUM(D61:D64)</f>
        <v>19762</v>
      </c>
      <c r="E60" s="611">
        <f>SUM(E61:E64)</f>
        <v>19380</v>
      </c>
      <c r="F60" s="612">
        <f>SUM(F61:F64)</f>
        <v>7774</v>
      </c>
      <c r="G60" s="613">
        <f t="shared" si="0"/>
        <v>70.2</v>
      </c>
    </row>
    <row r="61" spans="2:7" s="61" customFormat="1" ht="13.5" customHeight="1">
      <c r="B61" s="3" t="s">
        <v>8</v>
      </c>
      <c r="C61" s="619">
        <v>7254</v>
      </c>
      <c r="D61" s="620">
        <v>4763</v>
      </c>
      <c r="E61" s="621">
        <v>4683</v>
      </c>
      <c r="F61" s="622">
        <v>1528</v>
      </c>
      <c r="G61" s="623">
        <f t="shared" si="0"/>
        <v>65.7</v>
      </c>
    </row>
    <row r="62" spans="2:7" s="61" customFormat="1" ht="13.5" customHeight="1">
      <c r="B62" s="3" t="s">
        <v>9</v>
      </c>
      <c r="C62" s="619">
        <v>9849</v>
      </c>
      <c r="D62" s="620">
        <v>7112</v>
      </c>
      <c r="E62" s="621">
        <v>7006</v>
      </c>
      <c r="F62" s="622">
        <v>2857</v>
      </c>
      <c r="G62" s="623">
        <f t="shared" si="0"/>
        <v>72.2</v>
      </c>
    </row>
    <row r="63" spans="2:7" s="61" customFormat="1" ht="13.5" customHeight="1">
      <c r="B63" s="3" t="s">
        <v>11</v>
      </c>
      <c r="C63" s="619">
        <v>7476</v>
      </c>
      <c r="D63" s="620">
        <v>5491</v>
      </c>
      <c r="E63" s="621">
        <v>5376</v>
      </c>
      <c r="F63" s="622">
        <v>2154</v>
      </c>
      <c r="G63" s="623">
        <f t="shared" si="0"/>
        <v>73.4</v>
      </c>
    </row>
    <row r="64" spans="2:7" s="61" customFormat="1" ht="13.5" customHeight="1">
      <c r="B64" s="4" t="s">
        <v>10</v>
      </c>
      <c r="C64" s="630">
        <v>3581</v>
      </c>
      <c r="D64" s="631">
        <v>2396</v>
      </c>
      <c r="E64" s="632">
        <v>2315</v>
      </c>
      <c r="F64" s="633">
        <v>1235</v>
      </c>
      <c r="G64" s="634">
        <f t="shared" si="0"/>
        <v>66.9</v>
      </c>
    </row>
    <row r="65" spans="2:7" s="61" customFormat="1" ht="15" customHeight="1">
      <c r="B65" s="6" t="s">
        <v>472</v>
      </c>
      <c r="C65" s="609">
        <f>SUM(C66:C69)</f>
        <v>28160</v>
      </c>
      <c r="D65" s="610">
        <f>SUM(D66:D69)</f>
        <v>20136</v>
      </c>
      <c r="E65" s="611">
        <f>SUM(E66:E69)</f>
        <v>19767</v>
      </c>
      <c r="F65" s="612">
        <f>SUM(F66:F69)</f>
        <v>7645</v>
      </c>
      <c r="G65" s="613">
        <f t="shared" si="0"/>
        <v>71.5</v>
      </c>
    </row>
    <row r="66" spans="2:7" s="61" customFormat="1" ht="13.5" customHeight="1">
      <c r="B66" s="3" t="s">
        <v>8</v>
      </c>
      <c r="C66" s="619">
        <v>7254</v>
      </c>
      <c r="D66" s="620">
        <v>4968</v>
      </c>
      <c r="E66" s="621">
        <v>4893</v>
      </c>
      <c r="F66" s="622">
        <v>1561</v>
      </c>
      <c r="G66" s="623">
        <f t="shared" si="0"/>
        <v>68.5</v>
      </c>
    </row>
    <row r="67" spans="2:7" s="61" customFormat="1" ht="13.5" customHeight="1">
      <c r="B67" s="3" t="s">
        <v>9</v>
      </c>
      <c r="C67" s="619">
        <v>9849</v>
      </c>
      <c r="D67" s="620">
        <v>7130</v>
      </c>
      <c r="E67" s="621">
        <v>7023</v>
      </c>
      <c r="F67" s="622">
        <v>2737</v>
      </c>
      <c r="G67" s="623">
        <f t="shared" si="0"/>
        <v>72.4</v>
      </c>
    </row>
    <row r="68" spans="2:7" s="61" customFormat="1" ht="13.5" customHeight="1">
      <c r="B68" s="3" t="s">
        <v>11</v>
      </c>
      <c r="C68" s="619">
        <v>7476</v>
      </c>
      <c r="D68" s="620">
        <v>5601</v>
      </c>
      <c r="E68" s="621">
        <v>5490</v>
      </c>
      <c r="F68" s="622">
        <v>2146</v>
      </c>
      <c r="G68" s="623">
        <f t="shared" si="0"/>
        <v>74.9</v>
      </c>
    </row>
    <row r="69" spans="2:7" s="61" customFormat="1" ht="13.5" customHeight="1">
      <c r="B69" s="4" t="s">
        <v>10</v>
      </c>
      <c r="C69" s="630">
        <v>3581</v>
      </c>
      <c r="D69" s="631">
        <v>2437</v>
      </c>
      <c r="E69" s="632">
        <v>2361</v>
      </c>
      <c r="F69" s="633">
        <v>1201</v>
      </c>
      <c r="G69" s="634">
        <f aca="true" t="shared" si="1" ref="G69:G78">ROUND(D69/C69*100,1)</f>
        <v>68.1</v>
      </c>
    </row>
    <row r="70" spans="2:7" s="61" customFormat="1" ht="13.5" customHeight="1">
      <c r="B70" s="6" t="s">
        <v>473</v>
      </c>
      <c r="C70" s="609">
        <v>28160</v>
      </c>
      <c r="D70" s="610">
        <f>SUM(D71:D74)</f>
        <v>20466</v>
      </c>
      <c r="E70" s="611">
        <f>SUM(E71:E74)</f>
        <v>20105</v>
      </c>
      <c r="F70" s="612">
        <f>SUM(F71:F74)</f>
        <v>8136</v>
      </c>
      <c r="G70" s="613">
        <f t="shared" si="1"/>
        <v>72.7</v>
      </c>
    </row>
    <row r="71" spans="2:7" s="61" customFormat="1" ht="13.5" customHeight="1">
      <c r="B71" s="3" t="s">
        <v>8</v>
      </c>
      <c r="C71" s="619">
        <v>7254</v>
      </c>
      <c r="D71" s="620">
        <v>5027</v>
      </c>
      <c r="E71" s="621">
        <v>4950</v>
      </c>
      <c r="F71" s="622">
        <v>1644</v>
      </c>
      <c r="G71" s="623">
        <f t="shared" si="1"/>
        <v>69.3</v>
      </c>
    </row>
    <row r="72" spans="2:7" s="61" customFormat="1" ht="13.5" customHeight="1">
      <c r="B72" s="3" t="s">
        <v>9</v>
      </c>
      <c r="C72" s="619">
        <v>9849</v>
      </c>
      <c r="D72" s="620">
        <v>7199</v>
      </c>
      <c r="E72" s="621">
        <v>7101</v>
      </c>
      <c r="F72" s="622">
        <v>3010</v>
      </c>
      <c r="G72" s="623">
        <f t="shared" si="1"/>
        <v>73.1</v>
      </c>
    </row>
    <row r="73" spans="2:7" s="61" customFormat="1" ht="13.5" customHeight="1">
      <c r="B73" s="3" t="s">
        <v>11</v>
      </c>
      <c r="C73" s="619">
        <v>7476</v>
      </c>
      <c r="D73" s="620">
        <v>5751</v>
      </c>
      <c r="E73" s="621">
        <v>5641</v>
      </c>
      <c r="F73" s="622">
        <v>2225</v>
      </c>
      <c r="G73" s="623">
        <f t="shared" si="1"/>
        <v>76.9</v>
      </c>
    </row>
    <row r="74" spans="2:7" s="61" customFormat="1" ht="13.5" customHeight="1">
      <c r="B74" s="4" t="s">
        <v>10</v>
      </c>
      <c r="C74" s="630">
        <v>3581</v>
      </c>
      <c r="D74" s="631">
        <v>2489</v>
      </c>
      <c r="E74" s="632">
        <v>2413</v>
      </c>
      <c r="F74" s="633">
        <v>1257</v>
      </c>
      <c r="G74" s="634">
        <f t="shared" si="1"/>
        <v>69.5</v>
      </c>
    </row>
    <row r="75" spans="2:7" s="597" customFormat="1" ht="15" customHeight="1">
      <c r="B75" s="635"/>
      <c r="C75" s="636"/>
      <c r="D75" s="636"/>
      <c r="E75" s="636"/>
      <c r="F75" s="636"/>
      <c r="G75" s="637" t="s">
        <v>474</v>
      </c>
    </row>
  </sheetData>
  <sheetProtection/>
  <mergeCells count="2">
    <mergeCell ref="B3:B4"/>
    <mergeCell ref="D3:F3"/>
  </mergeCells>
  <printOptions/>
  <pageMargins left="0.5905511811023623" right="0.5905511811023623" top="0.7086614173228347" bottom="0.3937007874015748" header="0.3937007874015748" footer="0.3937007874015748"/>
  <pageSetup horizontalDpi="600" verticalDpi="600" orientation="portrait" paperSize="9" r:id="rId2"/>
  <headerFooter alignWithMargins="0">
    <oddHeader>&amp;R15.交通・通信</oddHeader>
    <oddFooter>&amp;C-111-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4"/>
  <sheetViews>
    <sheetView showGridLines="0" zoomScale="115" zoomScaleNormal="115" zoomScaleSheetLayoutView="100" zoomScalePageLayoutView="0" workbookViewId="0" topLeftCell="A3">
      <selection activeCell="B3" sqref="B3:B4"/>
    </sheetView>
  </sheetViews>
  <sheetFormatPr defaultColWidth="9.00390625" defaultRowHeight="13.5"/>
  <cols>
    <col min="1" max="1" width="3.50390625" style="53" customWidth="1"/>
    <col min="2" max="2" width="6.625" style="50" customWidth="1"/>
    <col min="3" max="3" width="4.625" style="50" customWidth="1"/>
    <col min="4" max="4" width="12.625" style="51" customWidth="1"/>
    <col min="5" max="6" width="14.125" style="50" customWidth="1"/>
    <col min="7" max="7" width="7.375" style="52" customWidth="1"/>
    <col min="8" max="8" width="6.625" style="52" customWidth="1"/>
    <col min="9" max="9" width="7.625" style="53" customWidth="1"/>
    <col min="10" max="11" width="7.125" style="53" customWidth="1"/>
    <col min="12" max="12" width="1.25" style="53" customWidth="1"/>
    <col min="13" max="16384" width="9.00390625" style="53" customWidth="1"/>
  </cols>
  <sheetData>
    <row r="1" ht="30" customHeight="1">
      <c r="A1" s="49" t="s">
        <v>37</v>
      </c>
    </row>
    <row r="2" spans="2:11" s="2" customFormat="1" ht="18" customHeight="1">
      <c r="B2" s="54" t="s">
        <v>38</v>
      </c>
      <c r="C2" s="50"/>
      <c r="D2" s="51"/>
      <c r="E2" s="50"/>
      <c r="F2" s="50"/>
      <c r="G2" s="52"/>
      <c r="H2" s="52"/>
      <c r="J2" s="55"/>
      <c r="K2" s="55" t="s">
        <v>39</v>
      </c>
    </row>
    <row r="3" spans="2:11" s="2" customFormat="1" ht="18" customHeight="1">
      <c r="B3" s="56" t="s">
        <v>40</v>
      </c>
      <c r="C3" s="57" t="s">
        <v>41</v>
      </c>
      <c r="D3" s="58" t="s">
        <v>42</v>
      </c>
      <c r="E3" s="59" t="s">
        <v>43</v>
      </c>
      <c r="F3" s="59" t="s">
        <v>44</v>
      </c>
      <c r="G3" s="60" t="s">
        <v>45</v>
      </c>
      <c r="H3" s="60"/>
      <c r="I3" s="59" t="s">
        <v>46</v>
      </c>
      <c r="J3" s="59"/>
      <c r="K3" s="59"/>
    </row>
    <row r="4" spans="2:11" s="61" customFormat="1" ht="24" customHeight="1">
      <c r="B4" s="62"/>
      <c r="C4" s="63"/>
      <c r="D4" s="58"/>
      <c r="E4" s="59"/>
      <c r="F4" s="59"/>
      <c r="G4" s="64" t="s">
        <v>47</v>
      </c>
      <c r="H4" s="65" t="s">
        <v>0</v>
      </c>
      <c r="I4" s="66" t="s">
        <v>48</v>
      </c>
      <c r="J4" s="67" t="s">
        <v>49</v>
      </c>
      <c r="K4" s="68" t="s">
        <v>50</v>
      </c>
    </row>
    <row r="5" spans="2:11" s="61" customFormat="1" ht="18" customHeight="1">
      <c r="B5" s="69"/>
      <c r="C5" s="70">
        <v>8</v>
      </c>
      <c r="D5" s="71" t="s">
        <v>51</v>
      </c>
      <c r="E5" s="72" t="s">
        <v>52</v>
      </c>
      <c r="F5" s="73" t="s">
        <v>53</v>
      </c>
      <c r="G5" s="74">
        <v>100925</v>
      </c>
      <c r="H5" s="75">
        <v>100925</v>
      </c>
      <c r="I5" s="76">
        <v>8324</v>
      </c>
      <c r="J5" s="77">
        <v>8324</v>
      </c>
      <c r="K5" s="78">
        <v>8324</v>
      </c>
    </row>
    <row r="6" spans="2:11" s="61" customFormat="1" ht="18" customHeight="1">
      <c r="B6" s="69" t="s">
        <v>54</v>
      </c>
      <c r="C6" s="79">
        <v>305</v>
      </c>
      <c r="D6" s="80" t="s">
        <v>55</v>
      </c>
      <c r="E6" s="81" t="s">
        <v>56</v>
      </c>
      <c r="F6" s="82" t="s">
        <v>57</v>
      </c>
      <c r="G6" s="83">
        <v>107562</v>
      </c>
      <c r="H6" s="84">
        <v>107492</v>
      </c>
      <c r="I6" s="85">
        <v>10208</v>
      </c>
      <c r="J6" s="86">
        <v>10208</v>
      </c>
      <c r="K6" s="87">
        <v>10208</v>
      </c>
    </row>
    <row r="7" spans="2:13" s="61" customFormat="1" ht="18" customHeight="1">
      <c r="B7" s="88"/>
      <c r="C7" s="89">
        <v>364</v>
      </c>
      <c r="D7" s="90" t="s">
        <v>58</v>
      </c>
      <c r="E7" s="91" t="s">
        <v>59</v>
      </c>
      <c r="F7" s="92" t="s">
        <v>60</v>
      </c>
      <c r="G7" s="93">
        <v>54963</v>
      </c>
      <c r="H7" s="94">
        <v>31915</v>
      </c>
      <c r="I7" s="95">
        <v>15124</v>
      </c>
      <c r="J7" s="96">
        <v>14966</v>
      </c>
      <c r="K7" s="97">
        <v>11762</v>
      </c>
      <c r="M7" s="98"/>
    </row>
    <row r="8" spans="2:11" s="61" customFormat="1" ht="18" customHeight="1">
      <c r="B8" s="99" t="s">
        <v>61</v>
      </c>
      <c r="C8" s="100">
        <v>5</v>
      </c>
      <c r="D8" s="101" t="s">
        <v>62</v>
      </c>
      <c r="E8" s="102" t="s">
        <v>63</v>
      </c>
      <c r="F8" s="103" t="s">
        <v>60</v>
      </c>
      <c r="G8" s="104">
        <v>32919</v>
      </c>
      <c r="H8" s="105">
        <v>22742</v>
      </c>
      <c r="I8" s="76">
        <v>7692</v>
      </c>
      <c r="J8" s="106">
        <v>7692</v>
      </c>
      <c r="K8" s="107">
        <v>7692</v>
      </c>
    </row>
    <row r="9" spans="2:11" s="61" customFormat="1" ht="18" customHeight="1">
      <c r="B9" s="108"/>
      <c r="C9" s="79">
        <v>7</v>
      </c>
      <c r="D9" s="80" t="s">
        <v>64</v>
      </c>
      <c r="E9" s="81" t="s">
        <v>65</v>
      </c>
      <c r="F9" s="82" t="s">
        <v>66</v>
      </c>
      <c r="G9" s="83">
        <v>12775</v>
      </c>
      <c r="H9" s="84">
        <v>11521</v>
      </c>
      <c r="I9" s="85">
        <v>11521</v>
      </c>
      <c r="J9" s="86">
        <v>11521</v>
      </c>
      <c r="K9" s="87">
        <v>11521</v>
      </c>
    </row>
    <row r="10" spans="2:11" s="61" customFormat="1" ht="18" customHeight="1">
      <c r="B10" s="108"/>
      <c r="C10" s="79">
        <v>9</v>
      </c>
      <c r="D10" s="80" t="s">
        <v>67</v>
      </c>
      <c r="E10" s="109" t="s">
        <v>68</v>
      </c>
      <c r="F10" s="110" t="s">
        <v>69</v>
      </c>
      <c r="G10" s="111">
        <v>12046</v>
      </c>
      <c r="H10" s="112">
        <v>12046</v>
      </c>
      <c r="I10" s="85">
        <v>4204</v>
      </c>
      <c r="J10" s="86">
        <v>4204</v>
      </c>
      <c r="K10" s="87">
        <v>4204</v>
      </c>
    </row>
    <row r="11" spans="2:11" s="61" customFormat="1" ht="18" customHeight="1">
      <c r="B11" s="108"/>
      <c r="C11" s="79">
        <v>10</v>
      </c>
      <c r="D11" s="80" t="s">
        <v>70</v>
      </c>
      <c r="E11" s="109" t="s">
        <v>71</v>
      </c>
      <c r="F11" s="110" t="s">
        <v>72</v>
      </c>
      <c r="G11" s="111">
        <v>24499</v>
      </c>
      <c r="H11" s="112">
        <v>24422</v>
      </c>
      <c r="I11" s="85">
        <f>21547+631</f>
        <v>22178</v>
      </c>
      <c r="J11" s="86">
        <f>21547+631</f>
        <v>22178</v>
      </c>
      <c r="K11" s="87">
        <f>21567+631</f>
        <v>22198</v>
      </c>
    </row>
    <row r="12" spans="2:11" s="61" customFormat="1" ht="18" customHeight="1">
      <c r="B12" s="108"/>
      <c r="C12" s="79">
        <v>17</v>
      </c>
      <c r="D12" s="80" t="s">
        <v>73</v>
      </c>
      <c r="E12" s="81" t="s">
        <v>74</v>
      </c>
      <c r="F12" s="82" t="s">
        <v>75</v>
      </c>
      <c r="G12" s="83">
        <v>37940</v>
      </c>
      <c r="H12" s="84">
        <v>32760</v>
      </c>
      <c r="I12" s="85">
        <f>7960+7685</f>
        <v>15645</v>
      </c>
      <c r="J12" s="86">
        <f>7960+7685</f>
        <v>15645</v>
      </c>
      <c r="K12" s="87">
        <f>7960+7685</f>
        <v>15645</v>
      </c>
    </row>
    <row r="13" spans="2:11" s="61" customFormat="1" ht="18" customHeight="1">
      <c r="B13" s="108"/>
      <c r="C13" s="79">
        <v>20</v>
      </c>
      <c r="D13" s="80" t="s">
        <v>76</v>
      </c>
      <c r="E13" s="81" t="s">
        <v>77</v>
      </c>
      <c r="F13" s="82" t="s">
        <v>78</v>
      </c>
      <c r="G13" s="83">
        <v>7467</v>
      </c>
      <c r="H13" s="84">
        <v>7467</v>
      </c>
      <c r="I13" s="85">
        <v>7467</v>
      </c>
      <c r="J13" s="86">
        <v>7467</v>
      </c>
      <c r="K13" s="87">
        <v>7467</v>
      </c>
    </row>
    <row r="14" spans="2:11" s="61" customFormat="1" ht="18" customHeight="1">
      <c r="B14" s="108"/>
      <c r="C14" s="79">
        <v>29</v>
      </c>
      <c r="D14" s="80" t="s">
        <v>79</v>
      </c>
      <c r="E14" s="109" t="s">
        <v>80</v>
      </c>
      <c r="F14" s="110" t="s">
        <v>81</v>
      </c>
      <c r="G14" s="111">
        <v>24166</v>
      </c>
      <c r="H14" s="112">
        <v>23763</v>
      </c>
      <c r="I14" s="85">
        <f>8095+1795</f>
        <v>9890</v>
      </c>
      <c r="J14" s="86">
        <f>8095+1795</f>
        <v>9890</v>
      </c>
      <c r="K14" s="87">
        <f>8095+1795</f>
        <v>9890</v>
      </c>
    </row>
    <row r="15" spans="2:11" s="61" customFormat="1" ht="18" customHeight="1">
      <c r="B15" s="108"/>
      <c r="C15" s="79">
        <v>30</v>
      </c>
      <c r="D15" s="80" t="s">
        <v>82</v>
      </c>
      <c r="E15" s="81" t="s">
        <v>83</v>
      </c>
      <c r="F15" s="82" t="s">
        <v>84</v>
      </c>
      <c r="G15" s="83">
        <v>11079</v>
      </c>
      <c r="H15" s="84">
        <v>11035</v>
      </c>
      <c r="I15" s="111">
        <v>3149</v>
      </c>
      <c r="J15" s="113">
        <v>3149</v>
      </c>
      <c r="K15" s="112">
        <v>3149</v>
      </c>
    </row>
    <row r="16" spans="2:14" s="61" customFormat="1" ht="18" customHeight="1">
      <c r="B16" s="114"/>
      <c r="C16" s="89">
        <v>38</v>
      </c>
      <c r="D16" s="90" t="s">
        <v>85</v>
      </c>
      <c r="E16" s="91" t="s">
        <v>84</v>
      </c>
      <c r="F16" s="92" t="s">
        <v>86</v>
      </c>
      <c r="G16" s="93">
        <v>1527</v>
      </c>
      <c r="H16" s="94">
        <v>1394</v>
      </c>
      <c r="I16" s="115">
        <v>1394</v>
      </c>
      <c r="J16" s="116">
        <v>1394</v>
      </c>
      <c r="K16" s="117">
        <v>1394</v>
      </c>
      <c r="N16" s="98"/>
    </row>
    <row r="17" spans="2:11" s="61" customFormat="1" ht="18" customHeight="1">
      <c r="B17" s="118" t="s">
        <v>87</v>
      </c>
      <c r="C17" s="100">
        <v>101</v>
      </c>
      <c r="D17" s="101" t="s">
        <v>88</v>
      </c>
      <c r="E17" s="119" t="s">
        <v>65</v>
      </c>
      <c r="F17" s="120" t="s">
        <v>89</v>
      </c>
      <c r="G17" s="121">
        <v>6381</v>
      </c>
      <c r="H17" s="75">
        <v>6262</v>
      </c>
      <c r="I17" s="104">
        <f>H17-3866</f>
        <v>2396</v>
      </c>
      <c r="J17" s="122">
        <v>2396</v>
      </c>
      <c r="K17" s="105">
        <v>2396</v>
      </c>
    </row>
    <row r="18" spans="2:11" ht="18" customHeight="1">
      <c r="B18" s="108"/>
      <c r="C18" s="79">
        <v>102</v>
      </c>
      <c r="D18" s="80" t="s">
        <v>90</v>
      </c>
      <c r="E18" s="81" t="s">
        <v>91</v>
      </c>
      <c r="F18" s="82" t="s">
        <v>92</v>
      </c>
      <c r="G18" s="83">
        <v>6560</v>
      </c>
      <c r="H18" s="84">
        <v>4432</v>
      </c>
      <c r="I18" s="123">
        <v>4432</v>
      </c>
      <c r="J18" s="124">
        <v>4432</v>
      </c>
      <c r="K18" s="125">
        <v>4432</v>
      </c>
    </row>
    <row r="19" spans="2:11" ht="18" customHeight="1">
      <c r="B19" s="108"/>
      <c r="C19" s="79">
        <v>103</v>
      </c>
      <c r="D19" s="80" t="s">
        <v>93</v>
      </c>
      <c r="E19" s="109" t="s">
        <v>94</v>
      </c>
      <c r="F19" s="110" t="s">
        <v>95</v>
      </c>
      <c r="G19" s="111">
        <v>15983</v>
      </c>
      <c r="H19" s="112">
        <v>15290</v>
      </c>
      <c r="I19" s="123">
        <f>H19-6604</f>
        <v>8686</v>
      </c>
      <c r="J19" s="124">
        <v>8686</v>
      </c>
      <c r="K19" s="125">
        <f>I19-188-29</f>
        <v>8469</v>
      </c>
    </row>
    <row r="20" spans="2:11" ht="18" customHeight="1">
      <c r="B20" s="108"/>
      <c r="C20" s="79">
        <v>106</v>
      </c>
      <c r="D20" s="80" t="s">
        <v>96</v>
      </c>
      <c r="E20" s="109" t="s">
        <v>97</v>
      </c>
      <c r="F20" s="110" t="s">
        <v>98</v>
      </c>
      <c r="G20" s="111">
        <v>12314</v>
      </c>
      <c r="H20" s="112">
        <v>10974</v>
      </c>
      <c r="I20" s="123">
        <v>10974</v>
      </c>
      <c r="J20" s="124">
        <v>10974</v>
      </c>
      <c r="K20" s="125">
        <f>H20-498</f>
        <v>10476</v>
      </c>
    </row>
    <row r="21" spans="2:11" ht="18" customHeight="1">
      <c r="B21" s="108"/>
      <c r="C21" s="79">
        <v>108</v>
      </c>
      <c r="D21" s="80" t="s">
        <v>99</v>
      </c>
      <c r="E21" s="109" t="s">
        <v>100</v>
      </c>
      <c r="F21" s="110" t="s">
        <v>101</v>
      </c>
      <c r="G21" s="111">
        <v>8613</v>
      </c>
      <c r="H21" s="112">
        <v>5796</v>
      </c>
      <c r="I21" s="123">
        <v>5796</v>
      </c>
      <c r="J21" s="124">
        <v>5796</v>
      </c>
      <c r="K21" s="125">
        <v>5331</v>
      </c>
    </row>
    <row r="22" spans="2:11" ht="18" customHeight="1">
      <c r="B22" s="108"/>
      <c r="C22" s="79">
        <v>109</v>
      </c>
      <c r="D22" s="80" t="s">
        <v>102</v>
      </c>
      <c r="E22" s="109" t="s">
        <v>103</v>
      </c>
      <c r="F22" s="110" t="s">
        <v>104</v>
      </c>
      <c r="G22" s="111">
        <v>12602</v>
      </c>
      <c r="H22" s="112">
        <v>10594</v>
      </c>
      <c r="I22" s="123">
        <f>H22-2212</f>
        <v>8382</v>
      </c>
      <c r="J22" s="124">
        <v>8382</v>
      </c>
      <c r="K22" s="125">
        <f>I22-2097</f>
        <v>6285</v>
      </c>
    </row>
    <row r="23" spans="2:11" ht="18" customHeight="1">
      <c r="B23" s="108"/>
      <c r="C23" s="79">
        <v>110</v>
      </c>
      <c r="D23" s="80" t="s">
        <v>105</v>
      </c>
      <c r="E23" s="81" t="s">
        <v>106</v>
      </c>
      <c r="F23" s="82" t="s">
        <v>107</v>
      </c>
      <c r="G23" s="83">
        <v>13109</v>
      </c>
      <c r="H23" s="84">
        <v>13071</v>
      </c>
      <c r="I23" s="123">
        <f>H23-3921-2066</f>
        <v>7084</v>
      </c>
      <c r="J23" s="124">
        <v>7084</v>
      </c>
      <c r="K23" s="125">
        <f>I23-2429</f>
        <v>4655</v>
      </c>
    </row>
    <row r="24" spans="2:11" ht="18" customHeight="1">
      <c r="B24" s="108"/>
      <c r="C24" s="79">
        <v>112</v>
      </c>
      <c r="D24" s="80" t="s">
        <v>108</v>
      </c>
      <c r="E24" s="81" t="s">
        <v>109</v>
      </c>
      <c r="F24" s="82" t="s">
        <v>110</v>
      </c>
      <c r="G24" s="83">
        <v>31058</v>
      </c>
      <c r="H24" s="84">
        <v>21955</v>
      </c>
      <c r="I24" s="123">
        <v>5136</v>
      </c>
      <c r="J24" s="124">
        <v>4830</v>
      </c>
      <c r="K24" s="125">
        <v>5136</v>
      </c>
    </row>
    <row r="25" spans="2:11" ht="18" customHeight="1">
      <c r="B25" s="108"/>
      <c r="C25" s="79">
        <v>119</v>
      </c>
      <c r="D25" s="80" t="s">
        <v>111</v>
      </c>
      <c r="E25" s="81" t="s">
        <v>112</v>
      </c>
      <c r="F25" s="82" t="s">
        <v>113</v>
      </c>
      <c r="G25" s="83">
        <v>383</v>
      </c>
      <c r="H25" s="84">
        <v>383</v>
      </c>
      <c r="I25" s="123">
        <v>383</v>
      </c>
      <c r="J25" s="124">
        <v>383</v>
      </c>
      <c r="K25" s="125">
        <v>383</v>
      </c>
    </row>
    <row r="26" spans="2:11" ht="18" customHeight="1">
      <c r="B26" s="108"/>
      <c r="C26" s="79">
        <v>147</v>
      </c>
      <c r="D26" s="80" t="s">
        <v>114</v>
      </c>
      <c r="E26" s="81" t="s">
        <v>115</v>
      </c>
      <c r="F26" s="82" t="s">
        <v>84</v>
      </c>
      <c r="G26" s="83">
        <v>4633</v>
      </c>
      <c r="H26" s="84">
        <v>1881</v>
      </c>
      <c r="I26" s="123">
        <v>1881</v>
      </c>
      <c r="J26" s="124">
        <v>1881</v>
      </c>
      <c r="K26" s="125">
        <v>1881</v>
      </c>
    </row>
    <row r="27" spans="2:11" ht="18" customHeight="1">
      <c r="B27" s="108"/>
      <c r="C27" s="79">
        <v>151</v>
      </c>
      <c r="D27" s="80" t="s">
        <v>116</v>
      </c>
      <c r="E27" s="81" t="s">
        <v>117</v>
      </c>
      <c r="F27" s="82" t="s">
        <v>118</v>
      </c>
      <c r="G27" s="83">
        <v>956</v>
      </c>
      <c r="H27" s="84">
        <v>953</v>
      </c>
      <c r="I27" s="123">
        <v>953</v>
      </c>
      <c r="J27" s="124">
        <v>953</v>
      </c>
      <c r="K27" s="125">
        <v>198</v>
      </c>
    </row>
    <row r="28" spans="2:11" ht="18" customHeight="1">
      <c r="B28" s="108"/>
      <c r="C28" s="79">
        <v>152</v>
      </c>
      <c r="D28" s="81" t="s">
        <v>119</v>
      </c>
      <c r="E28" s="81" t="s">
        <v>120</v>
      </c>
      <c r="F28" s="82" t="s">
        <v>66</v>
      </c>
      <c r="G28" s="83">
        <v>4211</v>
      </c>
      <c r="H28" s="84">
        <v>4211</v>
      </c>
      <c r="I28" s="123">
        <v>1898</v>
      </c>
      <c r="J28" s="124">
        <v>1898</v>
      </c>
      <c r="K28" s="125">
        <v>1898</v>
      </c>
    </row>
    <row r="29" spans="2:11" ht="18" customHeight="1">
      <c r="B29" s="108"/>
      <c r="C29" s="79">
        <v>154</v>
      </c>
      <c r="D29" s="80" t="s">
        <v>121</v>
      </c>
      <c r="E29" s="109" t="s">
        <v>122</v>
      </c>
      <c r="F29" s="110" t="s">
        <v>123</v>
      </c>
      <c r="G29" s="111">
        <v>10702</v>
      </c>
      <c r="H29" s="112">
        <v>10218</v>
      </c>
      <c r="I29" s="123">
        <v>7848</v>
      </c>
      <c r="J29" s="124">
        <v>7848</v>
      </c>
      <c r="K29" s="125">
        <v>4679</v>
      </c>
    </row>
    <row r="30" spans="2:11" ht="18" customHeight="1">
      <c r="B30" s="108"/>
      <c r="C30" s="79">
        <v>155</v>
      </c>
      <c r="D30" s="80" t="s">
        <v>124</v>
      </c>
      <c r="E30" s="81" t="s">
        <v>125</v>
      </c>
      <c r="F30" s="82" t="s">
        <v>126</v>
      </c>
      <c r="G30" s="83">
        <v>6049</v>
      </c>
      <c r="H30" s="84">
        <v>5993</v>
      </c>
      <c r="I30" s="123">
        <v>268</v>
      </c>
      <c r="J30" s="124">
        <v>268</v>
      </c>
      <c r="K30" s="125">
        <v>268</v>
      </c>
    </row>
    <row r="31" spans="2:11" ht="18" customHeight="1">
      <c r="B31" s="108"/>
      <c r="C31" s="79">
        <v>156</v>
      </c>
      <c r="D31" s="80" t="s">
        <v>127</v>
      </c>
      <c r="E31" s="81" t="s">
        <v>128</v>
      </c>
      <c r="F31" s="82" t="s">
        <v>77</v>
      </c>
      <c r="G31" s="83">
        <v>7528</v>
      </c>
      <c r="H31" s="84">
        <v>7416</v>
      </c>
      <c r="I31" s="123">
        <v>4885</v>
      </c>
      <c r="J31" s="124">
        <v>4885</v>
      </c>
      <c r="K31" s="125">
        <v>4885</v>
      </c>
    </row>
    <row r="32" spans="2:11" ht="18" customHeight="1">
      <c r="B32" s="108"/>
      <c r="C32" s="79">
        <v>159</v>
      </c>
      <c r="D32" s="80" t="s">
        <v>129</v>
      </c>
      <c r="E32" s="109" t="s">
        <v>130</v>
      </c>
      <c r="F32" s="110" t="s">
        <v>106</v>
      </c>
      <c r="G32" s="111">
        <v>5230</v>
      </c>
      <c r="H32" s="112">
        <v>5223</v>
      </c>
      <c r="I32" s="123">
        <v>2757</v>
      </c>
      <c r="J32" s="124">
        <v>2757</v>
      </c>
      <c r="K32" s="125">
        <v>2757</v>
      </c>
    </row>
    <row r="33" spans="2:11" ht="18" customHeight="1">
      <c r="B33" s="108"/>
      <c r="C33" s="79">
        <v>160</v>
      </c>
      <c r="D33" s="80" t="s">
        <v>131</v>
      </c>
      <c r="E33" s="81" t="s">
        <v>132</v>
      </c>
      <c r="F33" s="82" t="s">
        <v>133</v>
      </c>
      <c r="G33" s="83">
        <v>8854</v>
      </c>
      <c r="H33" s="84">
        <v>8506</v>
      </c>
      <c r="I33" s="123">
        <v>8506</v>
      </c>
      <c r="J33" s="124">
        <v>8506</v>
      </c>
      <c r="K33" s="125">
        <v>8010</v>
      </c>
    </row>
    <row r="34" spans="2:11" ht="18" customHeight="1">
      <c r="B34" s="108"/>
      <c r="C34" s="79">
        <v>163</v>
      </c>
      <c r="D34" s="80" t="s">
        <v>134</v>
      </c>
      <c r="E34" s="81" t="s">
        <v>135</v>
      </c>
      <c r="F34" s="82" t="s">
        <v>136</v>
      </c>
      <c r="G34" s="83">
        <v>1892</v>
      </c>
      <c r="H34" s="84">
        <v>1892</v>
      </c>
      <c r="I34" s="123">
        <v>1892</v>
      </c>
      <c r="J34" s="124">
        <v>1892</v>
      </c>
      <c r="K34" s="125">
        <v>1892</v>
      </c>
    </row>
    <row r="35" spans="2:11" ht="18" customHeight="1">
      <c r="B35" s="108"/>
      <c r="C35" s="79">
        <v>166</v>
      </c>
      <c r="D35" s="80" t="s">
        <v>137</v>
      </c>
      <c r="E35" s="81" t="s">
        <v>138</v>
      </c>
      <c r="F35" s="82" t="s">
        <v>139</v>
      </c>
      <c r="G35" s="83">
        <v>9501</v>
      </c>
      <c r="H35" s="84">
        <v>7656</v>
      </c>
      <c r="I35" s="123">
        <v>2269</v>
      </c>
      <c r="J35" s="124">
        <v>2269</v>
      </c>
      <c r="K35" s="125">
        <v>0</v>
      </c>
    </row>
    <row r="36" spans="2:11" ht="18" customHeight="1">
      <c r="B36" s="108"/>
      <c r="C36" s="79">
        <v>167</v>
      </c>
      <c r="D36" s="80" t="s">
        <v>140</v>
      </c>
      <c r="E36" s="81" t="s">
        <v>141</v>
      </c>
      <c r="F36" s="82" t="s">
        <v>141</v>
      </c>
      <c r="G36" s="83">
        <v>3651</v>
      </c>
      <c r="H36" s="84">
        <v>3419</v>
      </c>
      <c r="I36" s="123">
        <v>3419</v>
      </c>
      <c r="J36" s="124">
        <v>3419</v>
      </c>
      <c r="K36" s="125">
        <v>3419</v>
      </c>
    </row>
    <row r="37" spans="2:11" ht="18" customHeight="1">
      <c r="B37" s="108"/>
      <c r="C37" s="79">
        <v>226</v>
      </c>
      <c r="D37" s="80" t="s">
        <v>142</v>
      </c>
      <c r="E37" s="81" t="s">
        <v>112</v>
      </c>
      <c r="F37" s="82" t="s">
        <v>143</v>
      </c>
      <c r="G37" s="83">
        <v>1157</v>
      </c>
      <c r="H37" s="84">
        <v>1137</v>
      </c>
      <c r="I37" s="123">
        <v>1137</v>
      </c>
      <c r="J37" s="124">
        <v>1137</v>
      </c>
      <c r="K37" s="125">
        <v>1137</v>
      </c>
    </row>
    <row r="38" spans="2:11" ht="18" customHeight="1">
      <c r="B38" s="108"/>
      <c r="C38" s="79">
        <v>232</v>
      </c>
      <c r="D38" s="81" t="s">
        <v>144</v>
      </c>
      <c r="E38" s="81" t="s">
        <v>145</v>
      </c>
      <c r="F38" s="82" t="s">
        <v>146</v>
      </c>
      <c r="G38" s="83">
        <v>11085</v>
      </c>
      <c r="H38" s="84">
        <v>176</v>
      </c>
      <c r="I38" s="123">
        <v>0</v>
      </c>
      <c r="J38" s="124">
        <v>0</v>
      </c>
      <c r="K38" s="125">
        <v>0</v>
      </c>
    </row>
    <row r="39" spans="2:11" ht="18" customHeight="1">
      <c r="B39" s="108"/>
      <c r="C39" s="79">
        <v>234</v>
      </c>
      <c r="D39" s="80" t="s">
        <v>147</v>
      </c>
      <c r="E39" s="81" t="s">
        <v>148</v>
      </c>
      <c r="F39" s="82" t="s">
        <v>149</v>
      </c>
      <c r="G39" s="83">
        <v>969</v>
      </c>
      <c r="H39" s="84">
        <v>800</v>
      </c>
      <c r="I39" s="123">
        <v>800</v>
      </c>
      <c r="J39" s="124">
        <v>800</v>
      </c>
      <c r="K39" s="125">
        <v>800</v>
      </c>
    </row>
    <row r="40" spans="2:11" ht="18" customHeight="1">
      <c r="B40" s="108"/>
      <c r="C40" s="79">
        <v>256</v>
      </c>
      <c r="D40" s="80" t="s">
        <v>150</v>
      </c>
      <c r="E40" s="81" t="s">
        <v>77</v>
      </c>
      <c r="F40" s="82" t="s">
        <v>151</v>
      </c>
      <c r="G40" s="83">
        <v>4768</v>
      </c>
      <c r="H40" s="84">
        <v>4768</v>
      </c>
      <c r="I40" s="123">
        <v>3340</v>
      </c>
      <c r="J40" s="124">
        <v>3340</v>
      </c>
      <c r="K40" s="125">
        <v>3340</v>
      </c>
    </row>
    <row r="41" spans="2:11" ht="18" customHeight="1">
      <c r="B41" s="108"/>
      <c r="C41" s="79">
        <v>257</v>
      </c>
      <c r="D41" s="80" t="s">
        <v>152</v>
      </c>
      <c r="E41" s="109" t="s">
        <v>130</v>
      </c>
      <c r="F41" s="110" t="s">
        <v>153</v>
      </c>
      <c r="G41" s="111">
        <v>3548</v>
      </c>
      <c r="H41" s="112">
        <v>1719</v>
      </c>
      <c r="I41" s="123">
        <v>1719</v>
      </c>
      <c r="J41" s="124">
        <v>1719</v>
      </c>
      <c r="K41" s="125">
        <v>1719</v>
      </c>
    </row>
    <row r="42" spans="2:11" ht="18" customHeight="1">
      <c r="B42" s="126"/>
      <c r="C42" s="89">
        <v>259</v>
      </c>
      <c r="D42" s="90" t="s">
        <v>154</v>
      </c>
      <c r="E42" s="91" t="s">
        <v>155</v>
      </c>
      <c r="F42" s="92" t="s">
        <v>156</v>
      </c>
      <c r="G42" s="127">
        <v>3587</v>
      </c>
      <c r="H42" s="128">
        <v>3587</v>
      </c>
      <c r="I42" s="129">
        <v>3587</v>
      </c>
      <c r="J42" s="130">
        <v>3587</v>
      </c>
      <c r="K42" s="131">
        <v>3587</v>
      </c>
    </row>
    <row r="43" spans="2:11" ht="15" customHeight="1">
      <c r="B43" s="2"/>
      <c r="C43" s="2"/>
      <c r="D43" s="2"/>
      <c r="E43" s="2"/>
      <c r="F43" s="2"/>
      <c r="I43" s="132"/>
      <c r="K43" s="32" t="s">
        <v>157</v>
      </c>
    </row>
    <row r="44" spans="2:11" ht="13.5">
      <c r="B44" s="53"/>
      <c r="C44" s="2"/>
      <c r="D44" s="2"/>
      <c r="E44" s="2"/>
      <c r="F44" s="2"/>
      <c r="K44" s="32" t="s">
        <v>28</v>
      </c>
    </row>
  </sheetData>
  <sheetProtection/>
  <mergeCells count="9">
    <mergeCell ref="I3:K3"/>
    <mergeCell ref="B8:B16"/>
    <mergeCell ref="B17:B42"/>
    <mergeCell ref="B3:B4"/>
    <mergeCell ref="C3:C4"/>
    <mergeCell ref="D3:D4"/>
    <mergeCell ref="E3:E4"/>
    <mergeCell ref="F3:F4"/>
    <mergeCell ref="G3:H3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8" r:id="rId1"/>
  <headerFooter alignWithMargins="0">
    <oddHeader>&amp;R15.交通・通信</oddHeader>
    <oddFooter>&amp;C-101-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3">
      <selection activeCell="M29" sqref="M29"/>
    </sheetView>
  </sheetViews>
  <sheetFormatPr defaultColWidth="9.00390625" defaultRowHeight="13.5"/>
  <cols>
    <col min="1" max="1" width="3.625" style="2" customWidth="1"/>
    <col min="2" max="2" width="8.625" style="133" customWidth="1"/>
    <col min="3" max="3" width="5.625" style="134" customWidth="1"/>
    <col min="4" max="4" width="9.125" style="2" customWidth="1"/>
    <col min="5" max="12" width="8.125" style="2" customWidth="1"/>
    <col min="13" max="16384" width="9.00390625" style="2" customWidth="1"/>
  </cols>
  <sheetData>
    <row r="1" ht="30" customHeight="1">
      <c r="A1" s="1" t="s">
        <v>158</v>
      </c>
    </row>
    <row r="2" spans="2:12" ht="18" customHeight="1">
      <c r="B2" s="135"/>
      <c r="C2" s="136"/>
      <c r="D2" s="137"/>
      <c r="E2" s="137"/>
      <c r="F2" s="137"/>
      <c r="G2" s="137"/>
      <c r="H2" s="137"/>
      <c r="I2" s="137"/>
      <c r="J2" s="137"/>
      <c r="K2" s="137"/>
      <c r="L2" s="138" t="s">
        <v>159</v>
      </c>
    </row>
    <row r="3" spans="2:12" s="139" customFormat="1" ht="24" customHeight="1">
      <c r="B3" s="140" t="s">
        <v>160</v>
      </c>
      <c r="C3" s="140" t="s">
        <v>161</v>
      </c>
      <c r="D3" s="141" t="s">
        <v>162</v>
      </c>
      <c r="E3" s="141" t="s">
        <v>163</v>
      </c>
      <c r="F3" s="141" t="s">
        <v>164</v>
      </c>
      <c r="G3" s="141" t="s">
        <v>165</v>
      </c>
      <c r="H3" s="141" t="s">
        <v>166</v>
      </c>
      <c r="I3" s="141" t="s">
        <v>167</v>
      </c>
      <c r="J3" s="141" t="s">
        <v>168</v>
      </c>
      <c r="K3" s="141" t="s">
        <v>169</v>
      </c>
      <c r="L3" s="141" t="s">
        <v>170</v>
      </c>
    </row>
    <row r="4" spans="2:12" s="139" customFormat="1" ht="18" customHeight="1">
      <c r="B4" s="142" t="s">
        <v>171</v>
      </c>
      <c r="C4" s="143" t="s">
        <v>172</v>
      </c>
      <c r="D4" s="144">
        <f aca="true" t="shared" si="0" ref="D4:D11">SUM(E4:L4)</f>
        <v>8428831</v>
      </c>
      <c r="E4" s="145">
        <v>569912</v>
      </c>
      <c r="F4" s="145">
        <v>778993</v>
      </c>
      <c r="G4" s="145">
        <v>1276285</v>
      </c>
      <c r="H4" s="145">
        <v>1363082</v>
      </c>
      <c r="I4" s="145">
        <v>879726</v>
      </c>
      <c r="J4" s="145">
        <v>844608</v>
      </c>
      <c r="K4" s="145">
        <v>297692</v>
      </c>
      <c r="L4" s="145">
        <v>2418533</v>
      </c>
    </row>
    <row r="5" spans="2:12" s="139" customFormat="1" ht="18" customHeight="1">
      <c r="B5" s="146"/>
      <c r="C5" s="147" t="s">
        <v>173</v>
      </c>
      <c r="D5" s="148">
        <f t="shared" si="0"/>
        <v>8466003</v>
      </c>
      <c r="E5" s="149">
        <v>562020</v>
      </c>
      <c r="F5" s="149">
        <v>713554</v>
      </c>
      <c r="G5" s="149">
        <v>1329154</v>
      </c>
      <c r="H5" s="149">
        <v>1509152</v>
      </c>
      <c r="I5" s="149">
        <v>833372</v>
      </c>
      <c r="J5" s="149">
        <v>800973</v>
      </c>
      <c r="K5" s="149">
        <v>289974</v>
      </c>
      <c r="L5" s="149">
        <v>2427804</v>
      </c>
    </row>
    <row r="6" spans="2:12" s="139" customFormat="1" ht="18" customHeight="1">
      <c r="B6" s="142" t="s">
        <v>174</v>
      </c>
      <c r="C6" s="143" t="s">
        <v>172</v>
      </c>
      <c r="D6" s="144">
        <f t="shared" si="0"/>
        <v>8467250</v>
      </c>
      <c r="E6" s="145">
        <v>561966</v>
      </c>
      <c r="F6" s="145">
        <v>788195</v>
      </c>
      <c r="G6" s="145">
        <v>1292067</v>
      </c>
      <c r="H6" s="145">
        <v>1377831</v>
      </c>
      <c r="I6" s="145">
        <v>895203</v>
      </c>
      <c r="J6" s="145">
        <v>850081</v>
      </c>
      <c r="K6" s="145">
        <v>287056</v>
      </c>
      <c r="L6" s="145">
        <v>2414851</v>
      </c>
    </row>
    <row r="7" spans="2:12" s="139" customFormat="1" ht="18" customHeight="1">
      <c r="B7" s="146"/>
      <c r="C7" s="147" t="s">
        <v>173</v>
      </c>
      <c r="D7" s="148">
        <f t="shared" si="0"/>
        <v>8507465</v>
      </c>
      <c r="E7" s="149">
        <v>557158</v>
      </c>
      <c r="F7" s="149">
        <v>718510</v>
      </c>
      <c r="G7" s="149">
        <v>1348330</v>
      </c>
      <c r="H7" s="149">
        <v>1507866</v>
      </c>
      <c r="I7" s="149">
        <v>852577</v>
      </c>
      <c r="J7" s="149">
        <v>805424</v>
      </c>
      <c r="K7" s="149">
        <v>276184</v>
      </c>
      <c r="L7" s="149">
        <v>2441416</v>
      </c>
    </row>
    <row r="8" spans="2:12" s="139" customFormat="1" ht="18" customHeight="1">
      <c r="B8" s="142" t="s">
        <v>175</v>
      </c>
      <c r="C8" s="143" t="s">
        <v>172</v>
      </c>
      <c r="D8" s="144">
        <f t="shared" si="0"/>
        <v>8543642</v>
      </c>
      <c r="E8" s="145">
        <v>561256</v>
      </c>
      <c r="F8" s="145">
        <v>819769</v>
      </c>
      <c r="G8" s="145">
        <v>1328057</v>
      </c>
      <c r="H8" s="145">
        <v>1383398</v>
      </c>
      <c r="I8" s="145">
        <v>913312</v>
      </c>
      <c r="J8" s="145">
        <v>846665</v>
      </c>
      <c r="K8" s="145">
        <v>284400</v>
      </c>
      <c r="L8" s="145">
        <v>2406785</v>
      </c>
    </row>
    <row r="9" spans="2:12" s="139" customFormat="1" ht="18" customHeight="1">
      <c r="B9" s="146"/>
      <c r="C9" s="147" t="s">
        <v>173</v>
      </c>
      <c r="D9" s="148">
        <f t="shared" si="0"/>
        <v>8591646</v>
      </c>
      <c r="E9" s="149">
        <v>557293</v>
      </c>
      <c r="F9" s="149">
        <v>755546</v>
      </c>
      <c r="G9" s="149">
        <v>1401307</v>
      </c>
      <c r="H9" s="149">
        <v>1522094</v>
      </c>
      <c r="I9" s="149">
        <v>865543</v>
      </c>
      <c r="J9" s="149">
        <v>808438</v>
      </c>
      <c r="K9" s="149">
        <v>274420</v>
      </c>
      <c r="L9" s="149">
        <v>2407005</v>
      </c>
    </row>
    <row r="10" spans="2:12" s="139" customFormat="1" ht="18" customHeight="1">
      <c r="B10" s="142" t="s">
        <v>176</v>
      </c>
      <c r="C10" s="143" t="s">
        <v>172</v>
      </c>
      <c r="D10" s="144">
        <f t="shared" si="0"/>
        <v>8640896</v>
      </c>
      <c r="E10" s="144">
        <v>562768</v>
      </c>
      <c r="F10" s="144">
        <v>824031</v>
      </c>
      <c r="G10" s="144">
        <v>1359655</v>
      </c>
      <c r="H10" s="144">
        <v>1402561</v>
      </c>
      <c r="I10" s="144">
        <v>938183</v>
      </c>
      <c r="J10" s="144">
        <v>856948</v>
      </c>
      <c r="K10" s="144">
        <v>288600</v>
      </c>
      <c r="L10" s="144">
        <v>2408150</v>
      </c>
    </row>
    <row r="11" spans="2:12" s="139" customFormat="1" ht="18" customHeight="1">
      <c r="B11" s="146"/>
      <c r="C11" s="147" t="s">
        <v>173</v>
      </c>
      <c r="D11" s="148">
        <f t="shared" si="0"/>
        <v>8682408</v>
      </c>
      <c r="E11" s="148">
        <v>550750</v>
      </c>
      <c r="F11" s="148">
        <v>754498</v>
      </c>
      <c r="G11" s="148">
        <v>1430033</v>
      </c>
      <c r="H11" s="148">
        <v>1545037</v>
      </c>
      <c r="I11" s="148">
        <v>889358</v>
      </c>
      <c r="J11" s="148">
        <v>818214</v>
      </c>
      <c r="K11" s="148">
        <v>277004</v>
      </c>
      <c r="L11" s="148">
        <v>2417514</v>
      </c>
    </row>
    <row r="12" spans="2:12" s="133" customFormat="1" ht="20.25" customHeight="1">
      <c r="B12" s="142" t="s">
        <v>177</v>
      </c>
      <c r="C12" s="143" t="s">
        <v>172</v>
      </c>
      <c r="D12" s="150">
        <v>8408715</v>
      </c>
      <c r="E12" s="150">
        <v>547037</v>
      </c>
      <c r="F12" s="150">
        <v>809885</v>
      </c>
      <c r="G12" s="150">
        <v>1357761</v>
      </c>
      <c r="H12" s="150">
        <v>1361682</v>
      </c>
      <c r="I12" s="150">
        <v>911099</v>
      </c>
      <c r="J12" s="150">
        <v>835706</v>
      </c>
      <c r="K12" s="150">
        <v>259343</v>
      </c>
      <c r="L12" s="150">
        <v>2326202</v>
      </c>
    </row>
    <row r="13" spans="2:12" s="133" customFormat="1" ht="20.25" customHeight="1">
      <c r="B13" s="146"/>
      <c r="C13" s="147" t="s">
        <v>173</v>
      </c>
      <c r="D13" s="151">
        <v>8474216</v>
      </c>
      <c r="E13" s="151">
        <v>539738</v>
      </c>
      <c r="F13" s="151">
        <v>741510</v>
      </c>
      <c r="G13" s="151">
        <v>1436164</v>
      </c>
      <c r="H13" s="151">
        <v>1512667</v>
      </c>
      <c r="I13" s="151">
        <v>853664</v>
      </c>
      <c r="J13" s="151">
        <v>796487</v>
      </c>
      <c r="K13" s="151">
        <v>246975</v>
      </c>
      <c r="L13" s="151">
        <v>2347011</v>
      </c>
    </row>
    <row r="14" spans="2:12" s="133" customFormat="1" ht="20.25" customHeight="1">
      <c r="B14" s="142" t="s">
        <v>178</v>
      </c>
      <c r="C14" s="143" t="s">
        <v>172</v>
      </c>
      <c r="D14" s="150">
        <v>8313733</v>
      </c>
      <c r="E14" s="150">
        <v>536097</v>
      </c>
      <c r="F14" s="150">
        <v>800752</v>
      </c>
      <c r="G14" s="150">
        <v>1322898</v>
      </c>
      <c r="H14" s="150">
        <v>1347635</v>
      </c>
      <c r="I14" s="150">
        <v>916470</v>
      </c>
      <c r="J14" s="150">
        <v>835640</v>
      </c>
      <c r="K14" s="150">
        <v>253861</v>
      </c>
      <c r="L14" s="150">
        <v>2300380</v>
      </c>
    </row>
    <row r="15" spans="2:12" s="133" customFormat="1" ht="20.25" customHeight="1">
      <c r="B15" s="146"/>
      <c r="C15" s="147" t="s">
        <v>173</v>
      </c>
      <c r="D15" s="151">
        <v>8350519</v>
      </c>
      <c r="E15" s="151">
        <v>521626</v>
      </c>
      <c r="F15" s="151">
        <v>731001</v>
      </c>
      <c r="G15" s="151">
        <v>1398479</v>
      </c>
      <c r="H15" s="151">
        <v>1491222</v>
      </c>
      <c r="I15" s="151">
        <v>857459</v>
      </c>
      <c r="J15" s="151">
        <v>798053</v>
      </c>
      <c r="K15" s="151">
        <v>241060</v>
      </c>
      <c r="L15" s="151">
        <v>2311619</v>
      </c>
    </row>
    <row r="16" spans="2:12" s="133" customFormat="1" ht="20.25" customHeight="1">
      <c r="B16" s="142" t="s">
        <v>179</v>
      </c>
      <c r="C16" s="143" t="s">
        <v>172</v>
      </c>
      <c r="D16" s="150">
        <v>8367054</v>
      </c>
      <c r="E16" s="150">
        <v>531411</v>
      </c>
      <c r="F16" s="150">
        <v>841050</v>
      </c>
      <c r="G16" s="150">
        <v>1332178</v>
      </c>
      <c r="H16" s="150">
        <v>1326783</v>
      </c>
      <c r="I16" s="150">
        <v>989168</v>
      </c>
      <c r="J16" s="150">
        <v>897533</v>
      </c>
      <c r="K16" s="150">
        <v>232095</v>
      </c>
      <c r="L16" s="150">
        <v>2216836</v>
      </c>
    </row>
    <row r="17" spans="2:12" s="61" customFormat="1" ht="20.25" customHeight="1">
      <c r="B17" s="146"/>
      <c r="C17" s="147" t="s">
        <v>173</v>
      </c>
      <c r="D17" s="151">
        <v>8425424</v>
      </c>
      <c r="E17" s="151">
        <v>518311</v>
      </c>
      <c r="F17" s="151">
        <v>776080</v>
      </c>
      <c r="G17" s="151">
        <v>1420759</v>
      </c>
      <c r="H17" s="151">
        <v>1497934</v>
      </c>
      <c r="I17" s="151">
        <v>903129</v>
      </c>
      <c r="J17" s="151">
        <v>856209</v>
      </c>
      <c r="K17" s="151">
        <v>223217</v>
      </c>
      <c r="L17" s="151">
        <v>2229785</v>
      </c>
    </row>
    <row r="18" spans="2:12" s="61" customFormat="1" ht="20.25" customHeight="1">
      <c r="B18" s="142" t="s">
        <v>180</v>
      </c>
      <c r="C18" s="143" t="s">
        <v>172</v>
      </c>
      <c r="D18" s="152">
        <v>8488947</v>
      </c>
      <c r="E18" s="152">
        <v>564820</v>
      </c>
      <c r="F18" s="152">
        <v>838508</v>
      </c>
      <c r="G18" s="152">
        <v>1343047</v>
      </c>
      <c r="H18" s="152">
        <v>1335218</v>
      </c>
      <c r="I18" s="152">
        <v>1006805</v>
      </c>
      <c r="J18" s="152">
        <v>900600</v>
      </c>
      <c r="K18" s="152">
        <v>241908</v>
      </c>
      <c r="L18" s="152">
        <v>2258041</v>
      </c>
    </row>
    <row r="19" spans="2:12" s="61" customFormat="1" ht="20.25" customHeight="1">
      <c r="B19" s="146"/>
      <c r="C19" s="147" t="s">
        <v>173</v>
      </c>
      <c r="D19" s="153">
        <v>8542418</v>
      </c>
      <c r="E19" s="153">
        <v>543997</v>
      </c>
      <c r="F19" s="153">
        <v>777317</v>
      </c>
      <c r="G19" s="153">
        <v>1440752</v>
      </c>
      <c r="H19" s="153">
        <v>1506112</v>
      </c>
      <c r="I19" s="153">
        <v>920747</v>
      </c>
      <c r="J19" s="153">
        <v>857320</v>
      </c>
      <c r="K19" s="153">
        <v>225452</v>
      </c>
      <c r="L19" s="153">
        <v>2270721</v>
      </c>
    </row>
    <row r="20" spans="2:12" s="61" customFormat="1" ht="20.25" customHeight="1">
      <c r="B20" s="142" t="s">
        <v>181</v>
      </c>
      <c r="C20" s="143" t="s">
        <v>172</v>
      </c>
      <c r="D20" s="152">
        <v>8845526</v>
      </c>
      <c r="E20" s="152">
        <v>583586</v>
      </c>
      <c r="F20" s="152">
        <v>869678</v>
      </c>
      <c r="G20" s="152">
        <v>1389700</v>
      </c>
      <c r="H20" s="152">
        <v>1381198</v>
      </c>
      <c r="I20" s="152">
        <v>1040233</v>
      </c>
      <c r="J20" s="152">
        <v>945690</v>
      </c>
      <c r="K20" s="152">
        <v>255254</v>
      </c>
      <c r="L20" s="152">
        <v>2380187</v>
      </c>
    </row>
    <row r="21" spans="2:12" s="61" customFormat="1" ht="20.25" customHeight="1">
      <c r="B21" s="146"/>
      <c r="C21" s="147" t="s">
        <v>173</v>
      </c>
      <c r="D21" s="153">
        <v>8908361</v>
      </c>
      <c r="E21" s="153">
        <v>554936</v>
      </c>
      <c r="F21" s="153">
        <v>812457</v>
      </c>
      <c r="G21" s="153">
        <v>1485301</v>
      </c>
      <c r="H21" s="153">
        <v>1549018</v>
      </c>
      <c r="I21" s="153">
        <v>967476</v>
      </c>
      <c r="J21" s="153">
        <v>901395</v>
      </c>
      <c r="K21" s="153">
        <v>236560</v>
      </c>
      <c r="L21" s="153">
        <v>2401218</v>
      </c>
    </row>
    <row r="22" spans="2:12" s="61" customFormat="1" ht="20.25" customHeight="1">
      <c r="B22" s="154" t="s">
        <v>182</v>
      </c>
      <c r="C22" s="155"/>
      <c r="D22" s="156">
        <v>17787173</v>
      </c>
      <c r="E22" s="156">
        <v>1134244</v>
      </c>
      <c r="F22" s="156">
        <v>1689113</v>
      </c>
      <c r="G22" s="156">
        <v>2900876</v>
      </c>
      <c r="H22" s="156">
        <v>2904771</v>
      </c>
      <c r="I22" s="156">
        <v>2049842</v>
      </c>
      <c r="J22" s="156">
        <v>1857407</v>
      </c>
      <c r="K22" s="156">
        <v>486373</v>
      </c>
      <c r="L22" s="156">
        <v>4764547</v>
      </c>
    </row>
    <row r="23" spans="2:12" s="61" customFormat="1" ht="20.25" customHeight="1">
      <c r="B23" s="154" t="s">
        <v>183</v>
      </c>
      <c r="C23" s="155"/>
      <c r="D23" s="156">
        <v>17398998</v>
      </c>
      <c r="E23" s="156">
        <v>1102202</v>
      </c>
      <c r="F23" s="156">
        <v>1645335</v>
      </c>
      <c r="G23" s="156">
        <v>2847829</v>
      </c>
      <c r="H23" s="156">
        <v>2831242</v>
      </c>
      <c r="I23" s="156">
        <v>2007314</v>
      </c>
      <c r="J23" s="156">
        <v>1787378</v>
      </c>
      <c r="K23" s="156">
        <v>471893</v>
      </c>
      <c r="L23" s="156">
        <v>4705805</v>
      </c>
    </row>
    <row r="24" spans="2:12" s="61" customFormat="1" ht="20.25" customHeight="1">
      <c r="B24" s="154" t="s">
        <v>184</v>
      </c>
      <c r="C24" s="155"/>
      <c r="D24" s="156">
        <v>18383329</v>
      </c>
      <c r="E24" s="156">
        <v>1151224</v>
      </c>
      <c r="F24" s="156">
        <v>1758765</v>
      </c>
      <c r="G24" s="156">
        <v>3101286</v>
      </c>
      <c r="H24" s="156">
        <v>3084610</v>
      </c>
      <c r="I24" s="156">
        <v>2103762</v>
      </c>
      <c r="J24" s="156">
        <v>1758595</v>
      </c>
      <c r="K24" s="156">
        <v>435222</v>
      </c>
      <c r="L24" s="156">
        <v>4989865</v>
      </c>
    </row>
    <row r="25" spans="2:12" s="61" customFormat="1" ht="20.25" customHeight="1">
      <c r="B25" s="154" t="s">
        <v>185</v>
      </c>
      <c r="C25" s="155"/>
      <c r="D25" s="156">
        <v>19020302</v>
      </c>
      <c r="E25" s="156">
        <v>1180548</v>
      </c>
      <c r="F25" s="156">
        <v>1842164</v>
      </c>
      <c r="G25" s="156">
        <v>3201934</v>
      </c>
      <c r="H25" s="156">
        <v>3247842</v>
      </c>
      <c r="I25" s="156">
        <v>2211768</v>
      </c>
      <c r="J25" s="156">
        <v>1783555</v>
      </c>
      <c r="K25" s="156">
        <v>393949</v>
      </c>
      <c r="L25" s="156">
        <v>5158542</v>
      </c>
    </row>
    <row r="26" spans="2:12" s="159" customFormat="1" ht="20.25" customHeight="1">
      <c r="B26" s="157" t="s">
        <v>186</v>
      </c>
      <c r="C26" s="158"/>
      <c r="D26" s="156">
        <v>19335990</v>
      </c>
      <c r="E26" s="156">
        <v>1180653</v>
      </c>
      <c r="F26" s="156">
        <v>1868314</v>
      </c>
      <c r="G26" s="156">
        <v>3245369</v>
      </c>
      <c r="H26" s="156">
        <v>3348683</v>
      </c>
      <c r="I26" s="156">
        <v>2277686</v>
      </c>
      <c r="J26" s="156">
        <v>1861148</v>
      </c>
      <c r="K26" s="156">
        <v>426220</v>
      </c>
      <c r="L26" s="156">
        <v>5127917</v>
      </c>
    </row>
    <row r="27" spans="2:12" s="159" customFormat="1" ht="20.25" customHeight="1">
      <c r="B27" s="157" t="s">
        <v>187</v>
      </c>
      <c r="C27" s="158"/>
      <c r="D27" s="156">
        <v>19815091</v>
      </c>
      <c r="E27" s="156">
        <v>1211600</v>
      </c>
      <c r="F27" s="156">
        <v>1915169</v>
      </c>
      <c r="G27" s="156">
        <v>3319801</v>
      </c>
      <c r="H27" s="156">
        <v>3421577</v>
      </c>
      <c r="I27" s="156">
        <v>2380810</v>
      </c>
      <c r="J27" s="156">
        <v>1887132</v>
      </c>
      <c r="K27" s="156">
        <v>434555</v>
      </c>
      <c r="L27" s="156">
        <v>5244447</v>
      </c>
    </row>
    <row r="28" spans="2:13" s="159" customFormat="1" ht="20.25" customHeight="1">
      <c r="B28" s="157" t="s">
        <v>188</v>
      </c>
      <c r="C28" s="158"/>
      <c r="D28" s="156">
        <f>SUM(E28:L28)</f>
        <v>20350833</v>
      </c>
      <c r="E28" s="156">
        <v>1211258</v>
      </c>
      <c r="F28" s="156">
        <v>1978053</v>
      </c>
      <c r="G28" s="156">
        <v>3499350</v>
      </c>
      <c r="H28" s="156">
        <v>3472704</v>
      </c>
      <c r="I28" s="156">
        <v>2456915</v>
      </c>
      <c r="J28" s="156">
        <v>1935153</v>
      </c>
      <c r="K28" s="156">
        <v>423048</v>
      </c>
      <c r="L28" s="156">
        <v>5374352</v>
      </c>
      <c r="M28" s="160"/>
    </row>
    <row r="29" spans="2:13" s="159" customFormat="1" ht="20.25" customHeight="1">
      <c r="B29" s="157" t="s">
        <v>189</v>
      </c>
      <c r="C29" s="158"/>
      <c r="D29" s="156">
        <f>SUM(E29:L29)</f>
        <v>18656639</v>
      </c>
      <c r="E29" s="156">
        <v>1169247</v>
      </c>
      <c r="F29" s="156">
        <v>1868158</v>
      </c>
      <c r="G29" s="156">
        <v>3313191</v>
      </c>
      <c r="H29" s="156">
        <v>3310130</v>
      </c>
      <c r="I29" s="156">
        <v>2305249</v>
      </c>
      <c r="J29" s="156">
        <v>1875886</v>
      </c>
      <c r="K29" s="156">
        <v>407153</v>
      </c>
      <c r="L29" s="156">
        <v>4407625</v>
      </c>
      <c r="M29" s="160"/>
    </row>
    <row r="30" spans="2:12" s="61" customFormat="1" ht="15" customHeight="1">
      <c r="B30" s="61" t="s">
        <v>190</v>
      </c>
      <c r="C30" s="139"/>
      <c r="L30" s="32" t="s">
        <v>191</v>
      </c>
    </row>
    <row r="31" spans="3:12" s="61" customFormat="1" ht="15" customHeight="1">
      <c r="C31" s="134"/>
      <c r="E31" s="98"/>
      <c r="L31" s="32" t="s">
        <v>192</v>
      </c>
    </row>
    <row r="34" spans="4:5" ht="11.25">
      <c r="D34" s="161"/>
      <c r="E34" s="162"/>
    </row>
  </sheetData>
  <sheetProtection/>
  <mergeCells count="9">
    <mergeCell ref="B16:B17"/>
    <mergeCell ref="B18:B19"/>
    <mergeCell ref="B20:B21"/>
    <mergeCell ref="B4:B5"/>
    <mergeCell ref="B6:B7"/>
    <mergeCell ref="B8:B9"/>
    <mergeCell ref="B10:B11"/>
    <mergeCell ref="B12:B13"/>
    <mergeCell ref="B14:B1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&amp;R15.交通・通信</oddHeader>
    <oddFooter>&amp;C-102-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2">
      <selection activeCell="N24" sqref="N24"/>
    </sheetView>
  </sheetViews>
  <sheetFormatPr defaultColWidth="9.00390625" defaultRowHeight="13.5"/>
  <cols>
    <col min="1" max="1" width="4.25390625" style="0" customWidth="1"/>
    <col min="2" max="2" width="8.625" style="0" customWidth="1"/>
    <col min="3" max="5" width="6.625" style="0" customWidth="1"/>
    <col min="6" max="7" width="5.625" style="0" customWidth="1"/>
    <col min="8" max="14" width="6.625" style="0" customWidth="1"/>
  </cols>
  <sheetData>
    <row r="1" spans="1:16" ht="24">
      <c r="A1" s="1" t="s">
        <v>193</v>
      </c>
      <c r="B1" s="139"/>
      <c r="C1" s="139"/>
      <c r="D1" s="139"/>
      <c r="E1" s="139"/>
      <c r="F1" s="139"/>
      <c r="G1" s="139"/>
      <c r="H1" s="139"/>
      <c r="I1" s="133"/>
      <c r="J1" s="133"/>
      <c r="K1" s="133"/>
      <c r="L1" s="133"/>
      <c r="M1" s="133"/>
      <c r="N1" s="61"/>
      <c r="O1" s="61"/>
      <c r="P1" s="61"/>
    </row>
    <row r="2" spans="2:16" s="2" customFormat="1" ht="18" customHeight="1">
      <c r="B2" s="139"/>
      <c r="C2" s="139"/>
      <c r="D2" s="139"/>
      <c r="E2" s="139"/>
      <c r="F2" s="139"/>
      <c r="G2" s="139"/>
      <c r="H2" s="139"/>
      <c r="I2" s="133"/>
      <c r="J2" s="133"/>
      <c r="K2" s="133"/>
      <c r="L2" s="133"/>
      <c r="M2" s="133"/>
      <c r="N2" s="61"/>
      <c r="O2" s="61"/>
      <c r="P2" s="61"/>
    </row>
    <row r="3" spans="1:16" s="2" customFormat="1" ht="15" customHeight="1">
      <c r="A3" s="133"/>
      <c r="B3" s="142" t="s">
        <v>194</v>
      </c>
      <c r="C3" s="163" t="s">
        <v>195</v>
      </c>
      <c r="D3" s="164"/>
      <c r="E3" s="164"/>
      <c r="F3" s="164"/>
      <c r="G3" s="164"/>
      <c r="H3" s="164"/>
      <c r="I3" s="164" t="s">
        <v>196</v>
      </c>
      <c r="J3" s="164"/>
      <c r="K3" s="164"/>
      <c r="L3" s="164"/>
      <c r="M3" s="164"/>
      <c r="N3" s="164"/>
      <c r="O3" s="61"/>
      <c r="P3" s="133"/>
    </row>
    <row r="4" spans="1:16" s="2" customFormat="1" ht="15" customHeight="1">
      <c r="A4" s="133"/>
      <c r="B4" s="165"/>
      <c r="C4" s="164" t="s">
        <v>197</v>
      </c>
      <c r="D4" s="164"/>
      <c r="E4" s="164"/>
      <c r="F4" s="164" t="s">
        <v>198</v>
      </c>
      <c r="G4" s="164"/>
      <c r="H4" s="164"/>
      <c r="I4" s="163" t="s">
        <v>197</v>
      </c>
      <c r="J4" s="164"/>
      <c r="K4" s="166"/>
      <c r="L4" s="164" t="s">
        <v>198</v>
      </c>
      <c r="M4" s="164"/>
      <c r="N4" s="164"/>
      <c r="O4" s="61"/>
      <c r="P4" s="133"/>
    </row>
    <row r="5" spans="1:16" s="2" customFormat="1" ht="15" customHeight="1">
      <c r="A5" s="134"/>
      <c r="B5" s="165"/>
      <c r="C5" s="167" t="s">
        <v>199</v>
      </c>
      <c r="D5" s="168" t="s">
        <v>200</v>
      </c>
      <c r="E5" s="169" t="s">
        <v>201</v>
      </c>
      <c r="F5" s="170" t="s">
        <v>202</v>
      </c>
      <c r="G5" s="169" t="s">
        <v>203</v>
      </c>
      <c r="H5" s="171" t="s">
        <v>204</v>
      </c>
      <c r="I5" s="167" t="s">
        <v>199</v>
      </c>
      <c r="J5" s="168" t="s">
        <v>200</v>
      </c>
      <c r="K5" s="172" t="s">
        <v>201</v>
      </c>
      <c r="L5" s="170" t="s">
        <v>202</v>
      </c>
      <c r="M5" s="172" t="s">
        <v>203</v>
      </c>
      <c r="N5" s="167" t="s">
        <v>204</v>
      </c>
      <c r="O5" s="139"/>
      <c r="P5" s="134"/>
    </row>
    <row r="6" spans="1:16" s="2" customFormat="1" ht="15" customHeight="1">
      <c r="A6" s="134"/>
      <c r="B6" s="146"/>
      <c r="C6" s="173" t="s">
        <v>205</v>
      </c>
      <c r="D6" s="174" t="s">
        <v>206</v>
      </c>
      <c r="E6" s="175" t="s">
        <v>207</v>
      </c>
      <c r="F6" s="176" t="s">
        <v>208</v>
      </c>
      <c r="G6" s="175" t="s">
        <v>209</v>
      </c>
      <c r="H6" s="177" t="s">
        <v>210</v>
      </c>
      <c r="I6" s="173" t="s">
        <v>206</v>
      </c>
      <c r="J6" s="174" t="s">
        <v>206</v>
      </c>
      <c r="K6" s="178" t="s">
        <v>207</v>
      </c>
      <c r="L6" s="176" t="s">
        <v>208</v>
      </c>
      <c r="M6" s="178" t="s">
        <v>209</v>
      </c>
      <c r="N6" s="173" t="s">
        <v>210</v>
      </c>
      <c r="O6" s="139"/>
      <c r="P6" s="134"/>
    </row>
    <row r="7" spans="1:16" s="2" customFormat="1" ht="19.5" customHeight="1">
      <c r="A7" s="134"/>
      <c r="B7" s="42" t="s">
        <v>211</v>
      </c>
      <c r="C7" s="179">
        <v>1008</v>
      </c>
      <c r="D7" s="174">
        <v>256</v>
      </c>
      <c r="E7" s="178">
        <v>752</v>
      </c>
      <c r="F7" s="180" t="s">
        <v>212</v>
      </c>
      <c r="G7" s="181" t="s">
        <v>212</v>
      </c>
      <c r="H7" s="182" t="s">
        <v>212</v>
      </c>
      <c r="I7" s="179">
        <v>1112</v>
      </c>
      <c r="J7" s="174">
        <v>341</v>
      </c>
      <c r="K7" s="178">
        <v>771</v>
      </c>
      <c r="L7" s="180" t="s">
        <v>212</v>
      </c>
      <c r="M7" s="183" t="s">
        <v>212</v>
      </c>
      <c r="N7" s="184" t="s">
        <v>212</v>
      </c>
      <c r="O7" s="139"/>
      <c r="P7" s="134"/>
    </row>
    <row r="8" spans="1:16" s="2" customFormat="1" ht="19.5" customHeight="1">
      <c r="A8" s="134"/>
      <c r="B8" s="185" t="s">
        <v>213</v>
      </c>
      <c r="C8" s="173">
        <v>952</v>
      </c>
      <c r="D8" s="174">
        <v>251</v>
      </c>
      <c r="E8" s="178">
        <v>701</v>
      </c>
      <c r="F8" s="186" t="s">
        <v>212</v>
      </c>
      <c r="G8" s="187" t="s">
        <v>212</v>
      </c>
      <c r="H8" s="188" t="s">
        <v>212</v>
      </c>
      <c r="I8" s="179">
        <v>1115</v>
      </c>
      <c r="J8" s="174">
        <v>338</v>
      </c>
      <c r="K8" s="178">
        <v>777</v>
      </c>
      <c r="L8" s="186" t="s">
        <v>212</v>
      </c>
      <c r="M8" s="189" t="s">
        <v>212</v>
      </c>
      <c r="N8" s="190" t="s">
        <v>212</v>
      </c>
      <c r="O8" s="139"/>
      <c r="P8" s="134"/>
    </row>
    <row r="9" spans="1:16" s="2" customFormat="1" ht="19.5" customHeight="1">
      <c r="A9" s="134"/>
      <c r="B9" s="42" t="s">
        <v>214</v>
      </c>
      <c r="C9" s="184">
        <v>979</v>
      </c>
      <c r="D9" s="191">
        <v>239</v>
      </c>
      <c r="E9" s="183">
        <v>740</v>
      </c>
      <c r="F9" s="180" t="s">
        <v>212</v>
      </c>
      <c r="G9" s="181" t="s">
        <v>212</v>
      </c>
      <c r="H9" s="182" t="s">
        <v>212</v>
      </c>
      <c r="I9" s="184">
        <v>1100</v>
      </c>
      <c r="J9" s="191">
        <v>330</v>
      </c>
      <c r="K9" s="183">
        <v>770</v>
      </c>
      <c r="L9" s="180" t="s">
        <v>212</v>
      </c>
      <c r="M9" s="183" t="s">
        <v>212</v>
      </c>
      <c r="N9" s="184" t="s">
        <v>212</v>
      </c>
      <c r="O9" s="139"/>
      <c r="P9" s="134"/>
    </row>
    <row r="10" spans="1:16" s="2" customFormat="1" ht="19.5" customHeight="1">
      <c r="A10" s="134"/>
      <c r="B10" s="185" t="s">
        <v>215</v>
      </c>
      <c r="C10" s="190">
        <v>997</v>
      </c>
      <c r="D10" s="192">
        <v>233</v>
      </c>
      <c r="E10" s="187">
        <v>764</v>
      </c>
      <c r="F10" s="186" t="s">
        <v>212</v>
      </c>
      <c r="G10" s="187" t="s">
        <v>212</v>
      </c>
      <c r="H10" s="188" t="s">
        <v>212</v>
      </c>
      <c r="I10" s="190">
        <v>1176</v>
      </c>
      <c r="J10" s="192">
        <v>348</v>
      </c>
      <c r="K10" s="187">
        <v>828</v>
      </c>
      <c r="L10" s="186" t="s">
        <v>212</v>
      </c>
      <c r="M10" s="189" t="s">
        <v>212</v>
      </c>
      <c r="N10" s="190" t="s">
        <v>212</v>
      </c>
      <c r="O10" s="139"/>
      <c r="P10" s="134"/>
    </row>
    <row r="11" spans="1:16" s="2" customFormat="1" ht="19.5" customHeight="1">
      <c r="A11" s="134"/>
      <c r="B11" s="42" t="s">
        <v>216</v>
      </c>
      <c r="C11" s="184">
        <v>932</v>
      </c>
      <c r="D11" s="191">
        <v>208</v>
      </c>
      <c r="E11" s="183">
        <v>824</v>
      </c>
      <c r="F11" s="180" t="s">
        <v>212</v>
      </c>
      <c r="G11" s="181" t="s">
        <v>212</v>
      </c>
      <c r="H11" s="182" t="s">
        <v>212</v>
      </c>
      <c r="I11" s="184">
        <v>1162</v>
      </c>
      <c r="J11" s="191">
        <v>327</v>
      </c>
      <c r="K11" s="183">
        <v>835</v>
      </c>
      <c r="L11" s="180" t="s">
        <v>212</v>
      </c>
      <c r="M11" s="183" t="s">
        <v>212</v>
      </c>
      <c r="N11" s="184" t="s">
        <v>212</v>
      </c>
      <c r="O11" s="139"/>
      <c r="P11" s="134"/>
    </row>
    <row r="12" spans="1:16" s="2" customFormat="1" ht="19.5" customHeight="1">
      <c r="A12" s="134"/>
      <c r="B12" s="185" t="s">
        <v>217</v>
      </c>
      <c r="C12" s="190">
        <f>SUM(D12:E12)</f>
        <v>906</v>
      </c>
      <c r="D12" s="192">
        <v>208</v>
      </c>
      <c r="E12" s="187">
        <v>698</v>
      </c>
      <c r="F12" s="186" t="s">
        <v>212</v>
      </c>
      <c r="G12" s="187" t="s">
        <v>212</v>
      </c>
      <c r="H12" s="188" t="s">
        <v>212</v>
      </c>
      <c r="I12" s="190">
        <f>SUM(J12:K12)</f>
        <v>1093</v>
      </c>
      <c r="J12" s="192">
        <v>298</v>
      </c>
      <c r="K12" s="187">
        <v>795</v>
      </c>
      <c r="L12" s="186" t="s">
        <v>212</v>
      </c>
      <c r="M12" s="189" t="s">
        <v>212</v>
      </c>
      <c r="N12" s="190" t="s">
        <v>212</v>
      </c>
      <c r="O12" s="139"/>
      <c r="P12" s="134"/>
    </row>
    <row r="13" spans="2:16" s="2" customFormat="1" ht="19.5" customHeight="1">
      <c r="B13" s="42" t="s">
        <v>218</v>
      </c>
      <c r="C13" s="184">
        <v>895</v>
      </c>
      <c r="D13" s="191">
        <v>196</v>
      </c>
      <c r="E13" s="183">
        <v>699</v>
      </c>
      <c r="F13" s="180" t="s">
        <v>212</v>
      </c>
      <c r="G13" s="181" t="s">
        <v>212</v>
      </c>
      <c r="H13" s="182" t="s">
        <v>212</v>
      </c>
      <c r="I13" s="184">
        <v>1051</v>
      </c>
      <c r="J13" s="191">
        <v>281</v>
      </c>
      <c r="K13" s="183">
        <v>770</v>
      </c>
      <c r="L13" s="180" t="s">
        <v>212</v>
      </c>
      <c r="M13" s="183" t="s">
        <v>212</v>
      </c>
      <c r="N13" s="184" t="s">
        <v>212</v>
      </c>
      <c r="O13" s="61"/>
      <c r="P13" s="61"/>
    </row>
    <row r="14" spans="2:16" s="2" customFormat="1" ht="19.5" customHeight="1">
      <c r="B14" s="42" t="s">
        <v>219</v>
      </c>
      <c r="C14" s="193">
        <v>888</v>
      </c>
      <c r="D14" s="194">
        <v>202</v>
      </c>
      <c r="E14" s="195">
        <v>686</v>
      </c>
      <c r="F14" s="196" t="s">
        <v>212</v>
      </c>
      <c r="G14" s="197" t="s">
        <v>212</v>
      </c>
      <c r="H14" s="198" t="s">
        <v>212</v>
      </c>
      <c r="I14" s="193">
        <v>1043</v>
      </c>
      <c r="J14" s="194">
        <v>303</v>
      </c>
      <c r="K14" s="195">
        <v>740</v>
      </c>
      <c r="L14" s="196" t="s">
        <v>212</v>
      </c>
      <c r="M14" s="195" t="s">
        <v>212</v>
      </c>
      <c r="N14" s="193" t="s">
        <v>212</v>
      </c>
      <c r="O14" s="61"/>
      <c r="P14" s="61"/>
    </row>
    <row r="15" spans="2:16" s="2" customFormat="1" ht="19.5" customHeight="1">
      <c r="B15" s="42" t="s">
        <v>220</v>
      </c>
      <c r="C15" s="193">
        <v>903</v>
      </c>
      <c r="D15" s="194">
        <v>196</v>
      </c>
      <c r="E15" s="195">
        <v>707</v>
      </c>
      <c r="F15" s="196" t="s">
        <v>221</v>
      </c>
      <c r="G15" s="197" t="s">
        <v>221</v>
      </c>
      <c r="H15" s="198" t="s">
        <v>221</v>
      </c>
      <c r="I15" s="193">
        <v>1073</v>
      </c>
      <c r="J15" s="194">
        <v>296</v>
      </c>
      <c r="K15" s="195">
        <v>777</v>
      </c>
      <c r="L15" s="196" t="s">
        <v>221</v>
      </c>
      <c r="M15" s="195" t="s">
        <v>221</v>
      </c>
      <c r="N15" s="193" t="s">
        <v>221</v>
      </c>
      <c r="O15" s="61"/>
      <c r="P15" s="61"/>
    </row>
    <row r="16" spans="2:16" s="2" customFormat="1" ht="19.5" customHeight="1">
      <c r="B16" s="42" t="s">
        <v>222</v>
      </c>
      <c r="C16" s="193">
        <v>893</v>
      </c>
      <c r="D16" s="194">
        <v>194</v>
      </c>
      <c r="E16" s="195">
        <v>699</v>
      </c>
      <c r="F16" s="196" t="s">
        <v>221</v>
      </c>
      <c r="G16" s="197" t="s">
        <v>221</v>
      </c>
      <c r="H16" s="198" t="s">
        <v>221</v>
      </c>
      <c r="I16" s="193">
        <v>1083</v>
      </c>
      <c r="J16" s="194">
        <v>299</v>
      </c>
      <c r="K16" s="195">
        <v>784</v>
      </c>
      <c r="L16" s="196" t="s">
        <v>221</v>
      </c>
      <c r="M16" s="195" t="s">
        <v>221</v>
      </c>
      <c r="N16" s="193" t="s">
        <v>221</v>
      </c>
      <c r="O16" s="61"/>
      <c r="P16" s="61"/>
    </row>
    <row r="17" spans="2:16" s="2" customFormat="1" ht="19.5" customHeight="1">
      <c r="B17" s="42" t="s">
        <v>223</v>
      </c>
      <c r="C17" s="193">
        <v>937</v>
      </c>
      <c r="D17" s="194">
        <v>202</v>
      </c>
      <c r="E17" s="195">
        <v>735</v>
      </c>
      <c r="F17" s="196" t="s">
        <v>221</v>
      </c>
      <c r="G17" s="197" t="s">
        <v>221</v>
      </c>
      <c r="H17" s="198" t="s">
        <v>221</v>
      </c>
      <c r="I17" s="193">
        <v>1082</v>
      </c>
      <c r="J17" s="194">
        <v>298</v>
      </c>
      <c r="K17" s="195">
        <v>784</v>
      </c>
      <c r="L17" s="196" t="s">
        <v>221</v>
      </c>
      <c r="M17" s="195" t="s">
        <v>221</v>
      </c>
      <c r="N17" s="193" t="s">
        <v>221</v>
      </c>
      <c r="O17" s="61"/>
      <c r="P17" s="61"/>
    </row>
    <row r="18" spans="2:16" s="2" customFormat="1" ht="19.5" customHeight="1">
      <c r="B18" s="42" t="s">
        <v>224</v>
      </c>
      <c r="C18" s="193">
        <v>856</v>
      </c>
      <c r="D18" s="194">
        <v>197</v>
      </c>
      <c r="E18" s="195">
        <v>659</v>
      </c>
      <c r="F18" s="196" t="s">
        <v>221</v>
      </c>
      <c r="G18" s="197" t="s">
        <v>221</v>
      </c>
      <c r="H18" s="198" t="s">
        <v>221</v>
      </c>
      <c r="I18" s="193">
        <v>1028</v>
      </c>
      <c r="J18" s="194">
        <v>274</v>
      </c>
      <c r="K18" s="195">
        <v>754</v>
      </c>
      <c r="L18" s="196" t="s">
        <v>221</v>
      </c>
      <c r="M18" s="195" t="s">
        <v>221</v>
      </c>
      <c r="N18" s="193" t="s">
        <v>221</v>
      </c>
      <c r="O18" s="61"/>
      <c r="P18" s="61"/>
    </row>
    <row r="19" spans="2:16" s="2" customFormat="1" ht="19.5" customHeight="1">
      <c r="B19" s="42" t="s">
        <v>225</v>
      </c>
      <c r="C19" s="193">
        <v>848</v>
      </c>
      <c r="D19" s="194">
        <v>185</v>
      </c>
      <c r="E19" s="195">
        <v>663</v>
      </c>
      <c r="F19" s="196" t="s">
        <v>221</v>
      </c>
      <c r="G19" s="197" t="s">
        <v>221</v>
      </c>
      <c r="H19" s="198" t="s">
        <v>221</v>
      </c>
      <c r="I19" s="193">
        <v>1037</v>
      </c>
      <c r="J19" s="194">
        <v>263</v>
      </c>
      <c r="K19" s="195">
        <v>774</v>
      </c>
      <c r="L19" s="196" t="s">
        <v>221</v>
      </c>
      <c r="M19" s="195" t="s">
        <v>221</v>
      </c>
      <c r="N19" s="193" t="s">
        <v>221</v>
      </c>
      <c r="O19" s="61"/>
      <c r="P19" s="61"/>
    </row>
    <row r="20" spans="2:16" s="50" customFormat="1" ht="19.5" customHeight="1">
      <c r="B20" s="199" t="s">
        <v>226</v>
      </c>
      <c r="C20" s="193">
        <v>874</v>
      </c>
      <c r="D20" s="194">
        <v>184</v>
      </c>
      <c r="E20" s="195">
        <v>690</v>
      </c>
      <c r="F20" s="196" t="s">
        <v>221</v>
      </c>
      <c r="G20" s="197" t="s">
        <v>221</v>
      </c>
      <c r="H20" s="198" t="s">
        <v>221</v>
      </c>
      <c r="I20" s="193">
        <v>1051</v>
      </c>
      <c r="J20" s="194">
        <v>259</v>
      </c>
      <c r="K20" s="195">
        <v>792</v>
      </c>
      <c r="L20" s="196" t="s">
        <v>221</v>
      </c>
      <c r="M20" s="195" t="s">
        <v>221</v>
      </c>
      <c r="N20" s="193" t="s">
        <v>221</v>
      </c>
      <c r="O20" s="159"/>
      <c r="P20" s="159"/>
    </row>
    <row r="21" spans="2:16" s="50" customFormat="1" ht="19.5" customHeight="1">
      <c r="B21" s="199" t="s">
        <v>227</v>
      </c>
      <c r="C21" s="193">
        <v>877</v>
      </c>
      <c r="D21" s="194">
        <v>183</v>
      </c>
      <c r="E21" s="195">
        <v>694</v>
      </c>
      <c r="F21" s="196" t="s">
        <v>221</v>
      </c>
      <c r="G21" s="197" t="s">
        <v>221</v>
      </c>
      <c r="H21" s="198" t="s">
        <v>221</v>
      </c>
      <c r="I21" s="193">
        <v>1053</v>
      </c>
      <c r="J21" s="194">
        <v>259</v>
      </c>
      <c r="K21" s="195">
        <v>794</v>
      </c>
      <c r="L21" s="196" t="s">
        <v>221</v>
      </c>
      <c r="M21" s="195" t="s">
        <v>221</v>
      </c>
      <c r="N21" s="193" t="s">
        <v>221</v>
      </c>
      <c r="O21" s="159"/>
      <c r="P21" s="159"/>
    </row>
    <row r="22" spans="2:16" s="50" customFormat="1" ht="19.5" customHeight="1">
      <c r="B22" s="199" t="s">
        <v>228</v>
      </c>
      <c r="C22" s="193">
        <v>885</v>
      </c>
      <c r="D22" s="194">
        <v>186</v>
      </c>
      <c r="E22" s="195">
        <v>699</v>
      </c>
      <c r="F22" s="196" t="s">
        <v>212</v>
      </c>
      <c r="G22" s="197" t="s">
        <v>212</v>
      </c>
      <c r="H22" s="198" t="s">
        <v>212</v>
      </c>
      <c r="I22" s="193">
        <v>1084</v>
      </c>
      <c r="J22" s="194">
        <v>260</v>
      </c>
      <c r="K22" s="195">
        <v>824</v>
      </c>
      <c r="L22" s="196" t="s">
        <v>212</v>
      </c>
      <c r="M22" s="195" t="s">
        <v>212</v>
      </c>
      <c r="N22" s="193" t="s">
        <v>212</v>
      </c>
      <c r="O22" s="159"/>
      <c r="P22" s="159"/>
    </row>
    <row r="23" spans="2:16" s="50" customFormat="1" ht="19.5" customHeight="1">
      <c r="B23" s="199" t="s">
        <v>229</v>
      </c>
      <c r="C23" s="193">
        <v>939</v>
      </c>
      <c r="D23" s="194">
        <v>185</v>
      </c>
      <c r="E23" s="195">
        <v>754</v>
      </c>
      <c r="F23" s="196" t="s">
        <v>212</v>
      </c>
      <c r="G23" s="197" t="s">
        <v>212</v>
      </c>
      <c r="H23" s="198" t="s">
        <v>212</v>
      </c>
      <c r="I23" s="193">
        <v>1035</v>
      </c>
      <c r="J23" s="194">
        <v>258</v>
      </c>
      <c r="K23" s="195">
        <v>777</v>
      </c>
      <c r="L23" s="196" t="s">
        <v>212</v>
      </c>
      <c r="M23" s="195" t="s">
        <v>212</v>
      </c>
      <c r="N23" s="193" t="s">
        <v>212</v>
      </c>
      <c r="O23" s="159"/>
      <c r="P23" s="159"/>
    </row>
    <row r="24" ht="15" customHeight="1">
      <c r="N24" s="200" t="s">
        <v>230</v>
      </c>
    </row>
    <row r="25" ht="15" customHeight="1">
      <c r="N25" s="32" t="s">
        <v>192</v>
      </c>
    </row>
  </sheetData>
  <sheetProtection/>
  <mergeCells count="7">
    <mergeCell ref="B3:B6"/>
    <mergeCell ref="C3:H3"/>
    <mergeCell ref="I3:N3"/>
    <mergeCell ref="C4:E4"/>
    <mergeCell ref="F4:H4"/>
    <mergeCell ref="I4:K4"/>
    <mergeCell ref="L4:N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&amp;R15.交通・通信</oddHeader>
    <oddFooter>&amp;C-103-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6">
      <selection activeCell="H54" sqref="H54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8.125" style="2" customWidth="1"/>
    <col min="4" max="12" width="7.125" style="2" customWidth="1"/>
    <col min="13" max="16384" width="9.00390625" style="2" customWidth="1"/>
  </cols>
  <sheetData>
    <row r="1" spans="1:9" ht="30" customHeight="1">
      <c r="A1" s="49" t="s">
        <v>231</v>
      </c>
      <c r="D1" s="201"/>
      <c r="E1" s="201"/>
      <c r="F1" s="201"/>
      <c r="G1" s="201"/>
      <c r="H1" s="201"/>
      <c r="I1" s="201"/>
    </row>
    <row r="2" spans="2:12" ht="18" customHeight="1">
      <c r="B2" s="202"/>
      <c r="C2" s="202"/>
      <c r="D2" s="202"/>
      <c r="E2" s="202"/>
      <c r="F2" s="202"/>
      <c r="G2" s="201"/>
      <c r="H2" s="201"/>
      <c r="L2" s="21" t="s">
        <v>232</v>
      </c>
    </row>
    <row r="3" spans="2:12" ht="15" customHeight="1">
      <c r="B3" s="203" t="s">
        <v>160</v>
      </c>
      <c r="C3" s="204" t="s">
        <v>162</v>
      </c>
      <c r="D3" s="205" t="s">
        <v>233</v>
      </c>
      <c r="E3" s="206"/>
      <c r="F3" s="206"/>
      <c r="G3" s="206"/>
      <c r="H3" s="206"/>
      <c r="I3" s="206"/>
      <c r="J3" s="206"/>
      <c r="K3" s="206"/>
      <c r="L3" s="207"/>
    </row>
    <row r="4" spans="2:12" s="139" customFormat="1" ht="25.5" customHeight="1">
      <c r="B4" s="208"/>
      <c r="C4" s="209"/>
      <c r="D4" s="210" t="s">
        <v>234</v>
      </c>
      <c r="E4" s="211" t="s">
        <v>235</v>
      </c>
      <c r="F4" s="211" t="s">
        <v>236</v>
      </c>
      <c r="G4" s="211" t="s">
        <v>237</v>
      </c>
      <c r="H4" s="211" t="s">
        <v>238</v>
      </c>
      <c r="I4" s="211" t="s">
        <v>239</v>
      </c>
      <c r="J4" s="212" t="s">
        <v>240</v>
      </c>
      <c r="K4" s="212" t="s">
        <v>241</v>
      </c>
      <c r="L4" s="213" t="s">
        <v>242</v>
      </c>
    </row>
    <row r="5" spans="2:12" ht="27" customHeight="1">
      <c r="B5" s="214" t="s">
        <v>243</v>
      </c>
      <c r="C5" s="215">
        <f aca="true" t="shared" si="0" ref="C5:C16">SUM(D5:L5)</f>
        <v>835</v>
      </c>
      <c r="D5" s="216">
        <v>113</v>
      </c>
      <c r="E5" s="217">
        <v>315</v>
      </c>
      <c r="F5" s="217">
        <v>39</v>
      </c>
      <c r="G5" s="217">
        <v>26</v>
      </c>
      <c r="H5" s="217">
        <v>40</v>
      </c>
      <c r="I5" s="217">
        <v>58</v>
      </c>
      <c r="J5" s="218">
        <v>71</v>
      </c>
      <c r="K5" s="218">
        <v>88</v>
      </c>
      <c r="L5" s="219">
        <v>85</v>
      </c>
    </row>
    <row r="6" spans="2:12" ht="27" customHeight="1">
      <c r="B6" s="214" t="s">
        <v>244</v>
      </c>
      <c r="C6" s="215">
        <f t="shared" si="0"/>
        <v>1053</v>
      </c>
      <c r="D6" s="216">
        <v>128</v>
      </c>
      <c r="E6" s="217">
        <v>390</v>
      </c>
      <c r="F6" s="217">
        <v>47</v>
      </c>
      <c r="G6" s="217">
        <v>41</v>
      </c>
      <c r="H6" s="217">
        <v>58</v>
      </c>
      <c r="I6" s="217">
        <v>87</v>
      </c>
      <c r="J6" s="218">
        <v>87</v>
      </c>
      <c r="K6" s="218">
        <v>110</v>
      </c>
      <c r="L6" s="219">
        <v>105</v>
      </c>
    </row>
    <row r="7" spans="2:12" ht="27" customHeight="1">
      <c r="B7" s="214" t="s">
        <v>245</v>
      </c>
      <c r="C7" s="215">
        <f t="shared" si="0"/>
        <v>1169</v>
      </c>
      <c r="D7" s="216">
        <v>147</v>
      </c>
      <c r="E7" s="217">
        <v>434</v>
      </c>
      <c r="F7" s="217">
        <v>56</v>
      </c>
      <c r="G7" s="217">
        <v>34</v>
      </c>
      <c r="H7" s="217">
        <v>65</v>
      </c>
      <c r="I7" s="217">
        <v>87</v>
      </c>
      <c r="J7" s="218">
        <v>104</v>
      </c>
      <c r="K7" s="218">
        <v>126</v>
      </c>
      <c r="L7" s="219">
        <v>116</v>
      </c>
    </row>
    <row r="8" spans="2:12" ht="27" customHeight="1">
      <c r="B8" s="214" t="s">
        <v>246</v>
      </c>
      <c r="C8" s="215">
        <f t="shared" si="0"/>
        <v>1208</v>
      </c>
      <c r="D8" s="216">
        <f>ROUND(58184/365,0)</f>
        <v>159</v>
      </c>
      <c r="E8" s="217">
        <f>ROUND(159196/365,0)</f>
        <v>436</v>
      </c>
      <c r="F8" s="217">
        <f>ROUND(22793/365,0)</f>
        <v>62</v>
      </c>
      <c r="G8" s="217">
        <f>ROUND(12274/365,0)</f>
        <v>34</v>
      </c>
      <c r="H8" s="217">
        <f>ROUND(24300/365,0)</f>
        <v>67</v>
      </c>
      <c r="I8" s="217">
        <f>ROUND(34712/365,0)</f>
        <v>95</v>
      </c>
      <c r="J8" s="217">
        <f>ROUND(39580/365,0)</f>
        <v>108</v>
      </c>
      <c r="K8" s="217">
        <f>ROUND(44160/365,0)</f>
        <v>121</v>
      </c>
      <c r="L8" s="220">
        <f>ROUND(45992/365,0)</f>
        <v>126</v>
      </c>
    </row>
    <row r="9" spans="2:12" ht="27" customHeight="1">
      <c r="B9" s="214" t="s">
        <v>247</v>
      </c>
      <c r="C9" s="215">
        <f t="shared" si="0"/>
        <v>1232</v>
      </c>
      <c r="D9" s="216">
        <v>160</v>
      </c>
      <c r="E9" s="217">
        <v>441</v>
      </c>
      <c r="F9" s="217">
        <v>59</v>
      </c>
      <c r="G9" s="217">
        <v>36</v>
      </c>
      <c r="H9" s="217">
        <v>75</v>
      </c>
      <c r="I9" s="217">
        <v>95</v>
      </c>
      <c r="J9" s="217">
        <v>123</v>
      </c>
      <c r="K9" s="217">
        <v>116</v>
      </c>
      <c r="L9" s="220">
        <v>127</v>
      </c>
    </row>
    <row r="10" spans="2:12" ht="27" customHeight="1">
      <c r="B10" s="214" t="s">
        <v>248</v>
      </c>
      <c r="C10" s="215">
        <f t="shared" si="0"/>
        <v>1301</v>
      </c>
      <c r="D10" s="216">
        <v>165</v>
      </c>
      <c r="E10" s="217">
        <v>466</v>
      </c>
      <c r="F10" s="217">
        <v>66</v>
      </c>
      <c r="G10" s="217">
        <v>36</v>
      </c>
      <c r="H10" s="217">
        <v>78</v>
      </c>
      <c r="I10" s="217">
        <v>85</v>
      </c>
      <c r="J10" s="217">
        <v>135</v>
      </c>
      <c r="K10" s="217">
        <v>123</v>
      </c>
      <c r="L10" s="220">
        <v>147</v>
      </c>
    </row>
    <row r="11" spans="2:12" ht="27" customHeight="1">
      <c r="B11" s="214" t="s">
        <v>249</v>
      </c>
      <c r="C11" s="215">
        <f t="shared" si="0"/>
        <v>1281</v>
      </c>
      <c r="D11" s="216">
        <v>173</v>
      </c>
      <c r="E11" s="217">
        <v>458</v>
      </c>
      <c r="F11" s="217">
        <v>67</v>
      </c>
      <c r="G11" s="217">
        <v>31</v>
      </c>
      <c r="H11" s="217">
        <v>82</v>
      </c>
      <c r="I11" s="217">
        <v>83</v>
      </c>
      <c r="J11" s="217">
        <v>130</v>
      </c>
      <c r="K11" s="217">
        <v>115</v>
      </c>
      <c r="L11" s="220">
        <v>142</v>
      </c>
    </row>
    <row r="12" spans="2:12" ht="27" customHeight="1">
      <c r="B12" s="214" t="s">
        <v>250</v>
      </c>
      <c r="C12" s="215">
        <f t="shared" si="0"/>
        <v>1309</v>
      </c>
      <c r="D12" s="216">
        <v>177</v>
      </c>
      <c r="E12" s="217">
        <v>471</v>
      </c>
      <c r="F12" s="217">
        <v>69</v>
      </c>
      <c r="G12" s="217">
        <v>28</v>
      </c>
      <c r="H12" s="217">
        <v>78</v>
      </c>
      <c r="I12" s="217">
        <v>87</v>
      </c>
      <c r="J12" s="217">
        <v>128</v>
      </c>
      <c r="K12" s="217">
        <v>118</v>
      </c>
      <c r="L12" s="220">
        <v>153</v>
      </c>
    </row>
    <row r="13" spans="2:12" ht="27" customHeight="1">
      <c r="B13" s="214" t="s">
        <v>251</v>
      </c>
      <c r="C13" s="215">
        <f t="shared" si="0"/>
        <v>1290</v>
      </c>
      <c r="D13" s="216">
        <v>174</v>
      </c>
      <c r="E13" s="217">
        <v>459</v>
      </c>
      <c r="F13" s="217">
        <v>71</v>
      </c>
      <c r="G13" s="217">
        <v>27</v>
      </c>
      <c r="H13" s="217">
        <v>73</v>
      </c>
      <c r="I13" s="217">
        <v>86</v>
      </c>
      <c r="J13" s="217">
        <v>126</v>
      </c>
      <c r="K13" s="217">
        <v>119</v>
      </c>
      <c r="L13" s="220">
        <v>155</v>
      </c>
    </row>
    <row r="14" spans="2:12" ht="27" customHeight="1">
      <c r="B14" s="214" t="s">
        <v>252</v>
      </c>
      <c r="C14" s="215">
        <f t="shared" si="0"/>
        <v>1263</v>
      </c>
      <c r="D14" s="216">
        <v>169</v>
      </c>
      <c r="E14" s="217">
        <v>438</v>
      </c>
      <c r="F14" s="217">
        <v>67</v>
      </c>
      <c r="G14" s="217">
        <v>25</v>
      </c>
      <c r="H14" s="217">
        <v>65</v>
      </c>
      <c r="I14" s="217">
        <v>79</v>
      </c>
      <c r="J14" s="217">
        <v>148</v>
      </c>
      <c r="K14" s="217">
        <v>124</v>
      </c>
      <c r="L14" s="220">
        <v>148</v>
      </c>
    </row>
    <row r="15" spans="2:12" ht="27" customHeight="1">
      <c r="B15" s="214" t="s">
        <v>253</v>
      </c>
      <c r="C15" s="215">
        <f t="shared" si="0"/>
        <v>1255</v>
      </c>
      <c r="D15" s="216">
        <v>165</v>
      </c>
      <c r="E15" s="217">
        <v>419</v>
      </c>
      <c r="F15" s="217">
        <v>72</v>
      </c>
      <c r="G15" s="217">
        <v>25</v>
      </c>
      <c r="H15" s="217">
        <v>81</v>
      </c>
      <c r="I15" s="217">
        <v>74</v>
      </c>
      <c r="J15" s="217">
        <v>150</v>
      </c>
      <c r="K15" s="217">
        <v>117</v>
      </c>
      <c r="L15" s="220">
        <v>152</v>
      </c>
    </row>
    <row r="16" spans="2:12" ht="27" customHeight="1">
      <c r="B16" s="214" t="s">
        <v>254</v>
      </c>
      <c r="C16" s="215">
        <f t="shared" si="0"/>
        <v>1226</v>
      </c>
      <c r="D16" s="216">
        <v>158</v>
      </c>
      <c r="E16" s="217">
        <v>398</v>
      </c>
      <c r="F16" s="217">
        <v>67</v>
      </c>
      <c r="G16" s="217">
        <v>27</v>
      </c>
      <c r="H16" s="217">
        <v>84</v>
      </c>
      <c r="I16" s="217">
        <v>66</v>
      </c>
      <c r="J16" s="217">
        <v>160</v>
      </c>
      <c r="K16" s="217">
        <v>113</v>
      </c>
      <c r="L16" s="220">
        <v>153</v>
      </c>
    </row>
    <row r="17" spans="2:12" ht="15" customHeight="1">
      <c r="B17" s="201"/>
      <c r="C17" s="201"/>
      <c r="D17" s="201"/>
      <c r="E17" s="201"/>
      <c r="F17" s="201"/>
      <c r="G17" s="201"/>
      <c r="H17" s="201"/>
      <c r="L17" s="32" t="s">
        <v>255</v>
      </c>
    </row>
    <row r="18" spans="2:9" ht="15" customHeight="1">
      <c r="B18" s="201"/>
      <c r="C18" s="201"/>
      <c r="D18" s="201"/>
      <c r="E18" s="201"/>
      <c r="F18" s="201"/>
      <c r="G18" s="201"/>
      <c r="H18" s="201"/>
      <c r="I18" s="201"/>
    </row>
    <row r="19" spans="2:9" ht="15" customHeight="1">
      <c r="B19" s="201"/>
      <c r="C19" s="201"/>
      <c r="D19" s="201"/>
      <c r="E19" s="201"/>
      <c r="F19" s="201"/>
      <c r="G19" s="201"/>
      <c r="H19" s="201"/>
      <c r="I19" s="201"/>
    </row>
  </sheetData>
  <sheetProtection/>
  <mergeCells count="3">
    <mergeCell ref="B3:B4"/>
    <mergeCell ref="C3:C4"/>
    <mergeCell ref="D3:L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&amp;R15.交通・通信</oddHeader>
    <oddFooter>&amp;C-104-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showGridLines="0" zoomScaleSheetLayoutView="110" workbookViewId="0" topLeftCell="A1">
      <selection activeCell="Q12" sqref="Q12"/>
    </sheetView>
  </sheetViews>
  <sheetFormatPr defaultColWidth="9.00390625" defaultRowHeight="13.5"/>
  <cols>
    <col min="1" max="1" width="9.00390625" style="223" customWidth="1"/>
    <col min="2" max="3" width="5.125" style="223" customWidth="1"/>
    <col min="4" max="7" width="4.125" style="223" customWidth="1"/>
    <col min="8" max="8" width="5.125" style="224" customWidth="1"/>
    <col min="9" max="20" width="4.125" style="223" customWidth="1"/>
    <col min="21" max="16384" width="9.00390625" style="223" customWidth="1"/>
  </cols>
  <sheetData>
    <row r="1" s="222" customFormat="1" ht="30" customHeight="1">
      <c r="A1" s="221" t="s">
        <v>256</v>
      </c>
    </row>
    <row r="2" ht="21" customHeight="1">
      <c r="T2" s="225" t="s">
        <v>257</v>
      </c>
    </row>
    <row r="3" spans="1:20" ht="21" customHeight="1">
      <c r="A3" s="226" t="s">
        <v>161</v>
      </c>
      <c r="B3" s="227" t="s">
        <v>258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9"/>
    </row>
    <row r="4" spans="1:20" ht="21" customHeight="1">
      <c r="A4" s="230"/>
      <c r="B4" s="231"/>
      <c r="C4" s="227" t="s">
        <v>259</v>
      </c>
      <c r="D4" s="228"/>
      <c r="E4" s="228"/>
      <c r="F4" s="228"/>
      <c r="G4" s="229"/>
      <c r="H4" s="232" t="s">
        <v>260</v>
      </c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</row>
    <row r="5" spans="1:20" s="224" customFormat="1" ht="111" customHeight="1">
      <c r="A5" s="235"/>
      <c r="B5" s="236" t="s">
        <v>261</v>
      </c>
      <c r="C5" s="237" t="s">
        <v>162</v>
      </c>
      <c r="D5" s="238" t="s">
        <v>262</v>
      </c>
      <c r="E5" s="238" t="s">
        <v>263</v>
      </c>
      <c r="F5" s="238" t="s">
        <v>264</v>
      </c>
      <c r="G5" s="238" t="s">
        <v>265</v>
      </c>
      <c r="H5" s="239" t="s">
        <v>162</v>
      </c>
      <c r="I5" s="240" t="s">
        <v>266</v>
      </c>
      <c r="J5" s="240" t="s">
        <v>267</v>
      </c>
      <c r="K5" s="240" t="s">
        <v>268</v>
      </c>
      <c r="L5" s="240" t="s">
        <v>269</v>
      </c>
      <c r="M5" s="240" t="s">
        <v>270</v>
      </c>
      <c r="N5" s="240" t="s">
        <v>271</v>
      </c>
      <c r="O5" s="240" t="s">
        <v>272</v>
      </c>
      <c r="P5" s="240" t="s">
        <v>273</v>
      </c>
      <c r="Q5" s="240" t="s">
        <v>274</v>
      </c>
      <c r="R5" s="240" t="s">
        <v>275</v>
      </c>
      <c r="S5" s="240" t="s">
        <v>276</v>
      </c>
      <c r="T5" s="240" t="s">
        <v>277</v>
      </c>
    </row>
    <row r="6" spans="1:20" ht="36" customHeight="1">
      <c r="A6" s="241" t="s">
        <v>224</v>
      </c>
      <c r="B6" s="242">
        <f aca="true" t="shared" si="0" ref="B6:B11">C6+H6</f>
        <v>49092</v>
      </c>
      <c r="C6" s="242">
        <f aca="true" t="shared" si="1" ref="C6:C11">SUM(D6:G6)</f>
        <v>37583</v>
      </c>
      <c r="D6" s="243">
        <v>9227</v>
      </c>
      <c r="E6" s="243">
        <v>9870</v>
      </c>
      <c r="F6" s="243">
        <v>9146</v>
      </c>
      <c r="G6" s="243">
        <v>9340</v>
      </c>
      <c r="H6" s="244">
        <f aca="true" t="shared" si="2" ref="H6:H11">SUM(I6:T6)</f>
        <v>11509</v>
      </c>
      <c r="I6" s="245">
        <v>693</v>
      </c>
      <c r="J6" s="245">
        <v>592</v>
      </c>
      <c r="K6" s="245">
        <v>84</v>
      </c>
      <c r="L6" s="245">
        <v>942</v>
      </c>
      <c r="M6" s="245">
        <v>480</v>
      </c>
      <c r="N6" s="245">
        <v>185</v>
      </c>
      <c r="O6" s="245">
        <v>1828</v>
      </c>
      <c r="P6" s="245">
        <v>1451</v>
      </c>
      <c r="Q6" s="245">
        <v>1129</v>
      </c>
      <c r="R6" s="245">
        <v>1013</v>
      </c>
      <c r="S6" s="245">
        <v>1087</v>
      </c>
      <c r="T6" s="245">
        <v>2025</v>
      </c>
    </row>
    <row r="7" spans="1:20" ht="36" customHeight="1">
      <c r="A7" s="241" t="s">
        <v>185</v>
      </c>
      <c r="B7" s="242">
        <f t="shared" si="0"/>
        <v>64649</v>
      </c>
      <c r="C7" s="242">
        <f t="shared" si="1"/>
        <v>44034</v>
      </c>
      <c r="D7" s="243">
        <v>11140</v>
      </c>
      <c r="E7" s="243">
        <v>11925</v>
      </c>
      <c r="F7" s="243">
        <v>10661</v>
      </c>
      <c r="G7" s="243">
        <v>10308</v>
      </c>
      <c r="H7" s="244">
        <f t="shared" si="2"/>
        <v>20615</v>
      </c>
      <c r="I7" s="245">
        <v>1700</v>
      </c>
      <c r="J7" s="245">
        <v>1210</v>
      </c>
      <c r="K7" s="245">
        <v>166</v>
      </c>
      <c r="L7" s="245">
        <v>2117</v>
      </c>
      <c r="M7" s="245">
        <v>878</v>
      </c>
      <c r="N7" s="245">
        <v>367</v>
      </c>
      <c r="O7" s="245">
        <v>3012</v>
      </c>
      <c r="P7" s="245">
        <v>2983</v>
      </c>
      <c r="Q7" s="245">
        <v>1355</v>
      </c>
      <c r="R7" s="245">
        <v>1523</v>
      </c>
      <c r="S7" s="245">
        <v>2112</v>
      </c>
      <c r="T7" s="245">
        <v>3192</v>
      </c>
    </row>
    <row r="8" spans="1:20" ht="36" customHeight="1">
      <c r="A8" s="241" t="s">
        <v>226</v>
      </c>
      <c r="B8" s="242">
        <f t="shared" si="0"/>
        <v>76026</v>
      </c>
      <c r="C8" s="242">
        <f t="shared" si="1"/>
        <v>54099</v>
      </c>
      <c r="D8" s="243">
        <v>15338</v>
      </c>
      <c r="E8" s="243">
        <v>14774</v>
      </c>
      <c r="F8" s="243">
        <v>12225</v>
      </c>
      <c r="G8" s="243">
        <v>11762</v>
      </c>
      <c r="H8" s="244">
        <f t="shared" si="2"/>
        <v>21927</v>
      </c>
      <c r="I8" s="245">
        <v>2184</v>
      </c>
      <c r="J8" s="245">
        <v>1523</v>
      </c>
      <c r="K8" s="245">
        <v>217</v>
      </c>
      <c r="L8" s="245">
        <v>2870</v>
      </c>
      <c r="M8" s="245">
        <v>1017</v>
      </c>
      <c r="N8" s="245">
        <v>328</v>
      </c>
      <c r="O8" s="245">
        <v>2743</v>
      </c>
      <c r="P8" s="245">
        <v>2930</v>
      </c>
      <c r="Q8" s="245">
        <v>1027</v>
      </c>
      <c r="R8" s="245">
        <v>2026</v>
      </c>
      <c r="S8" s="245">
        <v>2124</v>
      </c>
      <c r="T8" s="245">
        <v>2938</v>
      </c>
    </row>
    <row r="9" spans="1:20" ht="36" customHeight="1">
      <c r="A9" s="241" t="s">
        <v>227</v>
      </c>
      <c r="B9" s="242">
        <f t="shared" si="0"/>
        <v>79537</v>
      </c>
      <c r="C9" s="242">
        <f t="shared" si="1"/>
        <v>55882</v>
      </c>
      <c r="D9" s="243">
        <v>16523</v>
      </c>
      <c r="E9" s="243">
        <v>16497</v>
      </c>
      <c r="F9" s="243">
        <v>11518</v>
      </c>
      <c r="G9" s="243">
        <v>11344</v>
      </c>
      <c r="H9" s="244">
        <f t="shared" si="2"/>
        <v>23655</v>
      </c>
      <c r="I9" s="245">
        <v>2765</v>
      </c>
      <c r="J9" s="245">
        <v>1956</v>
      </c>
      <c r="K9" s="245">
        <v>248</v>
      </c>
      <c r="L9" s="245">
        <v>2862</v>
      </c>
      <c r="M9" s="245">
        <v>931</v>
      </c>
      <c r="N9" s="245">
        <v>380</v>
      </c>
      <c r="O9" s="245">
        <v>3167</v>
      </c>
      <c r="P9" s="245">
        <v>3572</v>
      </c>
      <c r="Q9" s="245">
        <v>805</v>
      </c>
      <c r="R9" s="245">
        <v>1394</v>
      </c>
      <c r="S9" s="245">
        <v>2200</v>
      </c>
      <c r="T9" s="245">
        <v>3375</v>
      </c>
    </row>
    <row r="10" spans="1:20" ht="36" customHeight="1">
      <c r="A10" s="241" t="s">
        <v>228</v>
      </c>
      <c r="B10" s="242">
        <f t="shared" si="0"/>
        <v>85110</v>
      </c>
      <c r="C10" s="242">
        <f t="shared" si="1"/>
        <v>61057</v>
      </c>
      <c r="D10" s="243">
        <v>17647</v>
      </c>
      <c r="E10" s="243">
        <v>18608</v>
      </c>
      <c r="F10" s="243">
        <v>11938</v>
      </c>
      <c r="G10" s="243">
        <v>12864</v>
      </c>
      <c r="H10" s="244">
        <f t="shared" si="2"/>
        <v>24053</v>
      </c>
      <c r="I10" s="245">
        <v>3251</v>
      </c>
      <c r="J10" s="245">
        <v>2101</v>
      </c>
      <c r="K10" s="245">
        <v>350</v>
      </c>
      <c r="L10" s="245">
        <v>3036</v>
      </c>
      <c r="M10" s="245">
        <v>971</v>
      </c>
      <c r="N10" s="245">
        <v>302</v>
      </c>
      <c r="O10" s="245">
        <v>3639</v>
      </c>
      <c r="P10" s="245">
        <v>3182</v>
      </c>
      <c r="Q10" s="245">
        <v>505</v>
      </c>
      <c r="R10" s="245">
        <v>1106</v>
      </c>
      <c r="S10" s="245">
        <v>2599</v>
      </c>
      <c r="T10" s="245">
        <v>3011</v>
      </c>
    </row>
    <row r="11" spans="1:20" s="247" customFormat="1" ht="36" customHeight="1">
      <c r="A11" s="246" t="s">
        <v>229</v>
      </c>
      <c r="B11" s="244">
        <f t="shared" si="0"/>
        <v>89764</v>
      </c>
      <c r="C11" s="244">
        <f t="shared" si="1"/>
        <v>65501</v>
      </c>
      <c r="D11" s="245">
        <v>18754</v>
      </c>
      <c r="E11" s="245">
        <v>19472</v>
      </c>
      <c r="F11" s="245">
        <v>13029</v>
      </c>
      <c r="G11" s="245">
        <v>14246</v>
      </c>
      <c r="H11" s="244">
        <f t="shared" si="2"/>
        <v>24263</v>
      </c>
      <c r="I11" s="245">
        <v>2985</v>
      </c>
      <c r="J11" s="245">
        <v>2331</v>
      </c>
      <c r="K11" s="245">
        <v>147</v>
      </c>
      <c r="L11" s="245">
        <v>3233</v>
      </c>
      <c r="M11" s="245">
        <v>1380</v>
      </c>
      <c r="N11" s="245">
        <v>110</v>
      </c>
      <c r="O11" s="245">
        <v>4542</v>
      </c>
      <c r="P11" s="245">
        <v>2580</v>
      </c>
      <c r="Q11" s="245">
        <v>411</v>
      </c>
      <c r="R11" s="245">
        <v>1300</v>
      </c>
      <c r="S11" s="245">
        <v>1963</v>
      </c>
      <c r="T11" s="245">
        <v>3281</v>
      </c>
    </row>
    <row r="12" spans="1:20" ht="30" customHeight="1">
      <c r="A12" s="248" t="s">
        <v>278</v>
      </c>
      <c r="T12" s="249" t="s">
        <v>279</v>
      </c>
    </row>
  </sheetData>
  <sheetProtection/>
  <mergeCells count="4">
    <mergeCell ref="A3:A5"/>
    <mergeCell ref="B3:T3"/>
    <mergeCell ref="C4:G4"/>
    <mergeCell ref="H4:T4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>
    <oddHeader>&amp;R15.交通・通信</oddHeader>
    <oddFooter>&amp;C-105-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86"/>
  <sheetViews>
    <sheetView showGridLines="0" zoomScalePageLayoutView="0" workbookViewId="0" topLeftCell="A1">
      <selection activeCell="R57" sqref="R57"/>
    </sheetView>
  </sheetViews>
  <sheetFormatPr defaultColWidth="9.00390625" defaultRowHeight="13.5"/>
  <cols>
    <col min="1" max="1" width="3.625" style="2" customWidth="1"/>
    <col min="2" max="2" width="7.625" style="2" customWidth="1"/>
    <col min="3" max="3" width="7.125" style="2" customWidth="1"/>
    <col min="4" max="4" width="6.625" style="2" customWidth="1"/>
    <col min="5" max="6" width="5.625" style="2" customWidth="1"/>
    <col min="7" max="7" width="4.625" style="2" customWidth="1"/>
    <col min="8" max="9" width="4.125" style="2" customWidth="1"/>
    <col min="10" max="11" width="6.125" style="2" customWidth="1"/>
    <col min="12" max="12" width="5.625" style="2" customWidth="1"/>
    <col min="13" max="13" width="4.625" style="2" customWidth="1"/>
    <col min="14" max="14" width="4.375" style="2" customWidth="1"/>
    <col min="15" max="15" width="4.625" style="2" customWidth="1"/>
    <col min="16" max="17" width="5.625" style="2" customWidth="1"/>
    <col min="18" max="18" width="4.625" style="2" customWidth="1"/>
    <col min="19" max="16384" width="9.00390625" style="2" customWidth="1"/>
  </cols>
  <sheetData>
    <row r="1" ht="30" customHeight="1">
      <c r="A1" s="250" t="s">
        <v>280</v>
      </c>
    </row>
    <row r="2" spans="2:18" ht="18" customHeight="1">
      <c r="B2" s="251" t="s">
        <v>281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252"/>
      <c r="P2" s="252"/>
      <c r="R2" s="253" t="s">
        <v>159</v>
      </c>
    </row>
    <row r="3" spans="2:18" ht="15" customHeight="1">
      <c r="B3" s="254" t="s">
        <v>1</v>
      </c>
      <c r="C3" s="45" t="s">
        <v>282</v>
      </c>
      <c r="D3" s="47" t="s">
        <v>283</v>
      </c>
      <c r="E3" s="255"/>
      <c r="F3" s="255"/>
      <c r="G3" s="255"/>
      <c r="H3" s="255"/>
      <c r="I3" s="255"/>
      <c r="J3" s="255"/>
      <c r="K3" s="255"/>
      <c r="L3" s="255"/>
      <c r="M3" s="48"/>
      <c r="N3" s="256" t="s">
        <v>284</v>
      </c>
      <c r="O3" s="257" t="s">
        <v>285</v>
      </c>
      <c r="P3" s="258"/>
      <c r="Q3" s="258"/>
      <c r="R3" s="259"/>
    </row>
    <row r="4" spans="2:18" ht="15" customHeight="1">
      <c r="B4" s="254"/>
      <c r="C4" s="260"/>
      <c r="D4" s="261" t="s">
        <v>286</v>
      </c>
      <c r="E4" s="262" t="s">
        <v>287</v>
      </c>
      <c r="F4" s="262"/>
      <c r="G4" s="262"/>
      <c r="H4" s="262" t="s">
        <v>288</v>
      </c>
      <c r="I4" s="262"/>
      <c r="J4" s="262" t="s">
        <v>289</v>
      </c>
      <c r="K4" s="262"/>
      <c r="L4" s="263" t="s">
        <v>290</v>
      </c>
      <c r="M4" s="264"/>
      <c r="N4" s="265"/>
      <c r="O4" s="266" t="s">
        <v>291</v>
      </c>
      <c r="P4" s="267" t="s">
        <v>292</v>
      </c>
      <c r="Q4" s="268" t="s">
        <v>293</v>
      </c>
      <c r="R4" s="269" t="s">
        <v>294</v>
      </c>
    </row>
    <row r="5" spans="2:18" ht="15" customHeight="1">
      <c r="B5" s="254"/>
      <c r="C5" s="260"/>
      <c r="D5" s="261"/>
      <c r="E5" s="270" t="s">
        <v>295</v>
      </c>
      <c r="F5" s="270" t="s">
        <v>296</v>
      </c>
      <c r="G5" s="271" t="s">
        <v>297</v>
      </c>
      <c r="H5" s="270" t="s">
        <v>295</v>
      </c>
      <c r="I5" s="270" t="s">
        <v>296</v>
      </c>
      <c r="J5" s="270" t="s">
        <v>295</v>
      </c>
      <c r="K5" s="270" t="s">
        <v>296</v>
      </c>
      <c r="L5" s="272" t="s">
        <v>298</v>
      </c>
      <c r="M5" s="273" t="s">
        <v>299</v>
      </c>
      <c r="N5" s="265"/>
      <c r="O5" s="274"/>
      <c r="P5" s="275"/>
      <c r="Q5" s="276"/>
      <c r="R5" s="277"/>
    </row>
    <row r="6" spans="2:18" ht="15" customHeight="1">
      <c r="B6" s="254"/>
      <c r="C6" s="278"/>
      <c r="D6" s="266"/>
      <c r="E6" s="279"/>
      <c r="F6" s="279"/>
      <c r="G6" s="280"/>
      <c r="H6" s="279"/>
      <c r="I6" s="279"/>
      <c r="J6" s="279"/>
      <c r="K6" s="279"/>
      <c r="L6" s="281"/>
      <c r="M6" s="282"/>
      <c r="N6" s="265"/>
      <c r="O6" s="274"/>
      <c r="P6" s="275"/>
      <c r="Q6" s="276"/>
      <c r="R6" s="277"/>
    </row>
    <row r="7" spans="2:18" ht="15" customHeight="1">
      <c r="B7" s="6" t="s">
        <v>19</v>
      </c>
      <c r="C7" s="283">
        <f aca="true" t="shared" si="0" ref="C7:Q7">SUM(C8:C11)</f>
        <v>63808</v>
      </c>
      <c r="D7" s="284">
        <f t="shared" si="0"/>
        <v>42869</v>
      </c>
      <c r="E7" s="285">
        <f t="shared" si="0"/>
        <v>2303</v>
      </c>
      <c r="F7" s="286">
        <f t="shared" si="0"/>
        <v>4272</v>
      </c>
      <c r="G7" s="286">
        <f t="shared" si="0"/>
        <v>137</v>
      </c>
      <c r="H7" s="286">
        <f t="shared" si="0"/>
        <v>37</v>
      </c>
      <c r="I7" s="286">
        <f t="shared" si="0"/>
        <v>110</v>
      </c>
      <c r="J7" s="286">
        <f t="shared" si="0"/>
        <v>8897</v>
      </c>
      <c r="K7" s="286">
        <f t="shared" si="0"/>
        <v>25799</v>
      </c>
      <c r="L7" s="287">
        <f t="shared" si="0"/>
        <v>950</v>
      </c>
      <c r="M7" s="288">
        <f t="shared" si="0"/>
        <v>364</v>
      </c>
      <c r="N7" s="289">
        <f t="shared" si="0"/>
        <v>701</v>
      </c>
      <c r="O7" s="284">
        <f t="shared" si="0"/>
        <v>699</v>
      </c>
      <c r="P7" s="286">
        <f t="shared" si="0"/>
        <v>11185</v>
      </c>
      <c r="Q7" s="290">
        <f t="shared" si="0"/>
        <v>8354</v>
      </c>
      <c r="R7" s="291"/>
    </row>
    <row r="8" spans="2:18" ht="15" customHeight="1" hidden="1">
      <c r="B8" s="3" t="s">
        <v>8</v>
      </c>
      <c r="C8" s="292">
        <f>+D8+N8+O8+P8+Q8</f>
        <v>17218</v>
      </c>
      <c r="D8" s="293">
        <f>SUM(E8:M8)</f>
        <v>11341</v>
      </c>
      <c r="E8" s="294">
        <f>344+124</f>
        <v>468</v>
      </c>
      <c r="F8" s="295">
        <f>1105+6</f>
        <v>1111</v>
      </c>
      <c r="G8" s="295">
        <f>4+8</f>
        <v>12</v>
      </c>
      <c r="H8" s="295">
        <v>7</v>
      </c>
      <c r="I8" s="295">
        <v>37</v>
      </c>
      <c r="J8" s="295">
        <v>2408</v>
      </c>
      <c r="K8" s="295">
        <f>6828+21</f>
        <v>6849</v>
      </c>
      <c r="L8" s="296">
        <f>194+124</f>
        <v>318</v>
      </c>
      <c r="M8" s="297">
        <v>131</v>
      </c>
      <c r="N8" s="298">
        <v>204</v>
      </c>
      <c r="O8" s="293">
        <v>202</v>
      </c>
      <c r="P8" s="295">
        <v>3116</v>
      </c>
      <c r="Q8" s="299">
        <v>2355</v>
      </c>
      <c r="R8" s="300"/>
    </row>
    <row r="9" spans="2:18" ht="15" customHeight="1" hidden="1">
      <c r="B9" s="3" t="s">
        <v>9</v>
      </c>
      <c r="C9" s="292">
        <f>+D9+N9+O9+P9+Q9</f>
        <v>21721</v>
      </c>
      <c r="D9" s="293">
        <f>SUM(E9:M9)</f>
        <v>15174</v>
      </c>
      <c r="E9" s="294">
        <f>731+287</f>
        <v>1018</v>
      </c>
      <c r="F9" s="295">
        <f>1518+9</f>
        <v>1527</v>
      </c>
      <c r="G9" s="295">
        <f>24+57</f>
        <v>81</v>
      </c>
      <c r="H9" s="295">
        <v>24</v>
      </c>
      <c r="I9" s="295">
        <v>40</v>
      </c>
      <c r="J9" s="295">
        <v>3070</v>
      </c>
      <c r="K9" s="295">
        <f>8918+18</f>
        <v>8936</v>
      </c>
      <c r="L9" s="296">
        <f>312+45</f>
        <v>357</v>
      </c>
      <c r="M9" s="297">
        <v>121</v>
      </c>
      <c r="N9" s="298">
        <v>241</v>
      </c>
      <c r="O9" s="293">
        <v>255</v>
      </c>
      <c r="P9" s="295">
        <v>3337</v>
      </c>
      <c r="Q9" s="299">
        <v>2714</v>
      </c>
      <c r="R9" s="300"/>
    </row>
    <row r="10" spans="2:18" ht="15" customHeight="1" hidden="1">
      <c r="B10" s="3" t="s">
        <v>11</v>
      </c>
      <c r="C10" s="292">
        <f>+D10+N10+O10+P10+Q10</f>
        <v>15629</v>
      </c>
      <c r="D10" s="293">
        <f>SUM(E10:M10)</f>
        <v>10606</v>
      </c>
      <c r="E10" s="294">
        <f>389+125</f>
        <v>514</v>
      </c>
      <c r="F10" s="295">
        <f>1073+9</f>
        <v>1082</v>
      </c>
      <c r="G10" s="295">
        <f>1+7</f>
        <v>8</v>
      </c>
      <c r="H10" s="295">
        <v>5</v>
      </c>
      <c r="I10" s="295">
        <v>19</v>
      </c>
      <c r="J10" s="295">
        <v>2246</v>
      </c>
      <c r="K10" s="295">
        <f>6468+11</f>
        <v>6479</v>
      </c>
      <c r="L10" s="296">
        <f>175+12</f>
        <v>187</v>
      </c>
      <c r="M10" s="297">
        <v>66</v>
      </c>
      <c r="N10" s="298">
        <v>159</v>
      </c>
      <c r="O10" s="293">
        <v>138</v>
      </c>
      <c r="P10" s="295">
        <v>2536</v>
      </c>
      <c r="Q10" s="299">
        <v>2190</v>
      </c>
      <c r="R10" s="300"/>
    </row>
    <row r="11" spans="2:18" ht="15" customHeight="1" hidden="1">
      <c r="B11" s="4" t="s">
        <v>300</v>
      </c>
      <c r="C11" s="292">
        <f>+D11+N11+O11+P11+Q11</f>
        <v>9240</v>
      </c>
      <c r="D11" s="293">
        <f>SUM(E11:M11)</f>
        <v>5748</v>
      </c>
      <c r="E11" s="301">
        <f>183+120</f>
        <v>303</v>
      </c>
      <c r="F11" s="302">
        <f>549+3</f>
        <v>552</v>
      </c>
      <c r="G11" s="302">
        <v>36</v>
      </c>
      <c r="H11" s="302">
        <v>1</v>
      </c>
      <c r="I11" s="302">
        <v>14</v>
      </c>
      <c r="J11" s="302">
        <v>1173</v>
      </c>
      <c r="K11" s="302">
        <v>3535</v>
      </c>
      <c r="L11" s="303">
        <v>88</v>
      </c>
      <c r="M11" s="304">
        <v>46</v>
      </c>
      <c r="N11" s="305">
        <v>97</v>
      </c>
      <c r="O11" s="306">
        <v>104</v>
      </c>
      <c r="P11" s="302">
        <v>2196</v>
      </c>
      <c r="Q11" s="307">
        <v>1095</v>
      </c>
      <c r="R11" s="300"/>
    </row>
    <row r="12" spans="2:18" ht="15" customHeight="1">
      <c r="B12" s="6" t="s">
        <v>20</v>
      </c>
      <c r="C12" s="283">
        <f aca="true" t="shared" si="1" ref="C12:Q12">SUM(C13:C16)</f>
        <v>65143</v>
      </c>
      <c r="D12" s="284">
        <f t="shared" si="1"/>
        <v>43766</v>
      </c>
      <c r="E12" s="285">
        <f t="shared" si="1"/>
        <v>2322</v>
      </c>
      <c r="F12" s="286">
        <f t="shared" si="1"/>
        <v>4155</v>
      </c>
      <c r="G12" s="286">
        <f t="shared" si="1"/>
        <v>136</v>
      </c>
      <c r="H12" s="286">
        <f t="shared" si="1"/>
        <v>40</v>
      </c>
      <c r="I12" s="286">
        <f t="shared" si="1"/>
        <v>102</v>
      </c>
      <c r="J12" s="286">
        <f t="shared" si="1"/>
        <v>9714</v>
      </c>
      <c r="K12" s="286">
        <f t="shared" si="1"/>
        <v>25863</v>
      </c>
      <c r="L12" s="287">
        <f t="shared" si="1"/>
        <v>1012</v>
      </c>
      <c r="M12" s="288">
        <f t="shared" si="1"/>
        <v>422</v>
      </c>
      <c r="N12" s="289">
        <f t="shared" si="1"/>
        <v>706</v>
      </c>
      <c r="O12" s="284">
        <f t="shared" si="1"/>
        <v>701</v>
      </c>
      <c r="P12" s="286">
        <f t="shared" si="1"/>
        <v>10748</v>
      </c>
      <c r="Q12" s="290">
        <f t="shared" si="1"/>
        <v>9272</v>
      </c>
      <c r="R12" s="300"/>
    </row>
    <row r="13" spans="2:18" ht="15" customHeight="1">
      <c r="B13" s="3" t="s">
        <v>8</v>
      </c>
      <c r="C13" s="292">
        <v>17469</v>
      </c>
      <c r="D13" s="293">
        <f>SUM(E13:M13)</f>
        <v>11534</v>
      </c>
      <c r="E13" s="294">
        <v>472</v>
      </c>
      <c r="F13" s="295">
        <v>1072</v>
      </c>
      <c r="G13" s="295">
        <v>13</v>
      </c>
      <c r="H13" s="295">
        <v>8</v>
      </c>
      <c r="I13" s="295">
        <v>35</v>
      </c>
      <c r="J13" s="295">
        <v>2585</v>
      </c>
      <c r="K13" s="295">
        <v>6885</v>
      </c>
      <c r="L13" s="296">
        <v>334</v>
      </c>
      <c r="M13" s="297">
        <v>130</v>
      </c>
      <c r="N13" s="298">
        <v>211</v>
      </c>
      <c r="O13" s="293">
        <v>217</v>
      </c>
      <c r="P13" s="295">
        <v>2949</v>
      </c>
      <c r="Q13" s="299">
        <v>2558</v>
      </c>
      <c r="R13" s="300"/>
    </row>
    <row r="14" spans="2:18" ht="15" customHeight="1">
      <c r="B14" s="3" t="s">
        <v>9</v>
      </c>
      <c r="C14" s="292">
        <v>22234</v>
      </c>
      <c r="D14" s="293">
        <f>SUM(E14:M14)</f>
        <v>12982</v>
      </c>
      <c r="E14" s="294">
        <v>1023</v>
      </c>
      <c r="F14" s="295">
        <v>1480</v>
      </c>
      <c r="G14" s="295">
        <v>76</v>
      </c>
      <c r="H14" s="295">
        <v>24</v>
      </c>
      <c r="I14" s="295">
        <v>35</v>
      </c>
      <c r="J14" s="295">
        <v>3338</v>
      </c>
      <c r="K14" s="295">
        <v>6494</v>
      </c>
      <c r="L14" s="296">
        <v>385</v>
      </c>
      <c r="M14" s="297">
        <v>127</v>
      </c>
      <c r="N14" s="298">
        <v>256</v>
      </c>
      <c r="O14" s="293">
        <v>249</v>
      </c>
      <c r="P14" s="295">
        <v>3228</v>
      </c>
      <c r="Q14" s="299">
        <v>3073</v>
      </c>
      <c r="R14" s="300"/>
    </row>
    <row r="15" spans="2:18" ht="15" customHeight="1">
      <c r="B15" s="3" t="s">
        <v>11</v>
      </c>
      <c r="C15" s="292">
        <v>15936</v>
      </c>
      <c r="D15" s="293">
        <f>SUM(E15:M15)</f>
        <v>13257</v>
      </c>
      <c r="E15" s="294">
        <v>517</v>
      </c>
      <c r="F15" s="295">
        <v>1049</v>
      </c>
      <c r="G15" s="295">
        <v>12</v>
      </c>
      <c r="H15" s="295">
        <v>6</v>
      </c>
      <c r="I15" s="295">
        <v>16</v>
      </c>
      <c r="J15" s="295">
        <v>2455</v>
      </c>
      <c r="K15" s="295">
        <v>8940</v>
      </c>
      <c r="L15" s="296">
        <v>195</v>
      </c>
      <c r="M15" s="297">
        <v>67</v>
      </c>
      <c r="N15" s="298">
        <v>153</v>
      </c>
      <c r="O15" s="293">
        <v>136</v>
      </c>
      <c r="P15" s="295">
        <v>2434</v>
      </c>
      <c r="Q15" s="299">
        <v>2402</v>
      </c>
      <c r="R15" s="300"/>
    </row>
    <row r="16" spans="2:18" ht="15" customHeight="1">
      <c r="B16" s="4" t="s">
        <v>300</v>
      </c>
      <c r="C16" s="292">
        <v>9504</v>
      </c>
      <c r="D16" s="293">
        <f>SUM(E16:M16)</f>
        <v>5993</v>
      </c>
      <c r="E16" s="301">
        <v>310</v>
      </c>
      <c r="F16" s="302">
        <v>554</v>
      </c>
      <c r="G16" s="302">
        <v>35</v>
      </c>
      <c r="H16" s="302">
        <v>2</v>
      </c>
      <c r="I16" s="302">
        <v>16</v>
      </c>
      <c r="J16" s="302">
        <v>1336</v>
      </c>
      <c r="K16" s="302">
        <v>3544</v>
      </c>
      <c r="L16" s="303">
        <v>98</v>
      </c>
      <c r="M16" s="304">
        <v>98</v>
      </c>
      <c r="N16" s="305">
        <v>86</v>
      </c>
      <c r="O16" s="306">
        <v>99</v>
      </c>
      <c r="P16" s="302">
        <v>2137</v>
      </c>
      <c r="Q16" s="307">
        <v>1239</v>
      </c>
      <c r="R16" s="300"/>
    </row>
    <row r="17" spans="2:18" ht="15" customHeight="1">
      <c r="B17" s="6" t="s">
        <v>14</v>
      </c>
      <c r="C17" s="283">
        <f aca="true" t="shared" si="2" ref="C17:Q17">SUM(C18:C21)</f>
        <v>66745</v>
      </c>
      <c r="D17" s="284">
        <f t="shared" si="2"/>
        <v>44420</v>
      </c>
      <c r="E17" s="285">
        <f t="shared" si="2"/>
        <v>2323</v>
      </c>
      <c r="F17" s="286">
        <f t="shared" si="2"/>
        <v>4088</v>
      </c>
      <c r="G17" s="286">
        <f t="shared" si="2"/>
        <v>129</v>
      </c>
      <c r="H17" s="286">
        <f t="shared" si="2"/>
        <v>42</v>
      </c>
      <c r="I17" s="286">
        <f t="shared" si="2"/>
        <v>106</v>
      </c>
      <c r="J17" s="286">
        <f t="shared" si="2"/>
        <v>10565</v>
      </c>
      <c r="K17" s="286">
        <f t="shared" si="2"/>
        <v>25731</v>
      </c>
      <c r="L17" s="287">
        <f t="shared" si="2"/>
        <v>1052</v>
      </c>
      <c r="M17" s="288">
        <f t="shared" si="2"/>
        <v>384</v>
      </c>
      <c r="N17" s="289">
        <f t="shared" si="2"/>
        <v>722</v>
      </c>
      <c r="O17" s="284">
        <f t="shared" si="2"/>
        <v>674</v>
      </c>
      <c r="P17" s="286">
        <f t="shared" si="2"/>
        <v>10524</v>
      </c>
      <c r="Q17" s="290">
        <f t="shared" si="2"/>
        <v>10405</v>
      </c>
      <c r="R17" s="300"/>
    </row>
    <row r="18" spans="2:18" ht="15" customHeight="1">
      <c r="B18" s="3" t="s">
        <v>8</v>
      </c>
      <c r="C18" s="292">
        <f>+D18+N18+O18+P18+Q18</f>
        <v>17726</v>
      </c>
      <c r="D18" s="293">
        <f>SUM(E18:M18)</f>
        <v>11658</v>
      </c>
      <c r="E18" s="294">
        <v>471</v>
      </c>
      <c r="F18" s="295">
        <v>1040</v>
      </c>
      <c r="G18" s="295">
        <v>14</v>
      </c>
      <c r="H18" s="295">
        <v>8</v>
      </c>
      <c r="I18" s="295">
        <v>35</v>
      </c>
      <c r="J18" s="295">
        <v>2790</v>
      </c>
      <c r="K18" s="295">
        <v>6830</v>
      </c>
      <c r="L18" s="296">
        <v>335</v>
      </c>
      <c r="M18" s="297">
        <v>135</v>
      </c>
      <c r="N18" s="298">
        <v>225</v>
      </c>
      <c r="O18" s="293">
        <v>203</v>
      </c>
      <c r="P18" s="295">
        <v>2868</v>
      </c>
      <c r="Q18" s="299">
        <v>2772</v>
      </c>
      <c r="R18" s="300"/>
    </row>
    <row r="19" spans="2:18" ht="15" customHeight="1">
      <c r="B19" s="3" t="s">
        <v>9</v>
      </c>
      <c r="C19" s="292">
        <f>+D19+N19+O19+P19+Q19</f>
        <v>22897</v>
      </c>
      <c r="D19" s="293">
        <f>SUM(E19:M19)</f>
        <v>15758</v>
      </c>
      <c r="E19" s="294">
        <v>1034</v>
      </c>
      <c r="F19" s="295">
        <v>1473</v>
      </c>
      <c r="G19" s="295">
        <v>74</v>
      </c>
      <c r="H19" s="295">
        <v>25</v>
      </c>
      <c r="I19" s="295">
        <v>40</v>
      </c>
      <c r="J19" s="295">
        <v>3677</v>
      </c>
      <c r="K19" s="295">
        <v>8892</v>
      </c>
      <c r="L19" s="296">
        <v>413</v>
      </c>
      <c r="M19" s="297">
        <v>130</v>
      </c>
      <c r="N19" s="298">
        <v>260</v>
      </c>
      <c r="O19" s="293">
        <v>242</v>
      </c>
      <c r="P19" s="295">
        <v>3133</v>
      </c>
      <c r="Q19" s="299">
        <v>3504</v>
      </c>
      <c r="R19" s="300"/>
    </row>
    <row r="20" spans="2:18" ht="15" customHeight="1">
      <c r="B20" s="3" t="s">
        <v>11</v>
      </c>
      <c r="C20" s="292">
        <f>+D20+N20+O20+P20+Q20</f>
        <v>16276</v>
      </c>
      <c r="D20" s="293">
        <f>SUM(E20:M20)</f>
        <v>10920</v>
      </c>
      <c r="E20" s="294">
        <v>514</v>
      </c>
      <c r="F20" s="295">
        <v>1016</v>
      </c>
      <c r="G20" s="295">
        <v>13</v>
      </c>
      <c r="H20" s="295">
        <v>7</v>
      </c>
      <c r="I20" s="295">
        <v>17</v>
      </c>
      <c r="J20" s="295">
        <v>2630</v>
      </c>
      <c r="K20" s="295">
        <v>6456</v>
      </c>
      <c r="L20" s="296">
        <v>198</v>
      </c>
      <c r="M20" s="297">
        <v>69</v>
      </c>
      <c r="N20" s="298">
        <v>159</v>
      </c>
      <c r="O20" s="293">
        <v>135</v>
      </c>
      <c r="P20" s="295">
        <v>2379</v>
      </c>
      <c r="Q20" s="299">
        <v>2683</v>
      </c>
      <c r="R20" s="300"/>
    </row>
    <row r="21" spans="2:18" ht="15" customHeight="1">
      <c r="B21" s="4" t="s">
        <v>300</v>
      </c>
      <c r="C21" s="292">
        <f>+D21+N21+O21+P21+Q21</f>
        <v>9846</v>
      </c>
      <c r="D21" s="293">
        <f>SUM(E21:M21)</f>
        <v>6084</v>
      </c>
      <c r="E21" s="301">
        <v>304</v>
      </c>
      <c r="F21" s="302">
        <v>559</v>
      </c>
      <c r="G21" s="302">
        <v>28</v>
      </c>
      <c r="H21" s="302">
        <v>2</v>
      </c>
      <c r="I21" s="302">
        <v>14</v>
      </c>
      <c r="J21" s="302">
        <v>1468</v>
      </c>
      <c r="K21" s="302">
        <v>3553</v>
      </c>
      <c r="L21" s="303">
        <v>106</v>
      </c>
      <c r="M21" s="304">
        <v>50</v>
      </c>
      <c r="N21" s="305">
        <v>78</v>
      </c>
      <c r="O21" s="306">
        <v>94</v>
      </c>
      <c r="P21" s="302">
        <v>2144</v>
      </c>
      <c r="Q21" s="307">
        <v>1446</v>
      </c>
      <c r="R21" s="300"/>
    </row>
    <row r="22" spans="2:18" ht="15" customHeight="1">
      <c r="B22" s="6" t="s">
        <v>15</v>
      </c>
      <c r="C22" s="283">
        <f aca="true" t="shared" si="3" ref="C22:Q22">SUM(C23:C26)</f>
        <v>68085</v>
      </c>
      <c r="D22" s="284">
        <f t="shared" si="3"/>
        <v>44977</v>
      </c>
      <c r="E22" s="285">
        <f t="shared" si="3"/>
        <v>2276</v>
      </c>
      <c r="F22" s="286">
        <f t="shared" si="3"/>
        <v>3970</v>
      </c>
      <c r="G22" s="286">
        <f t="shared" si="3"/>
        <v>130</v>
      </c>
      <c r="H22" s="286">
        <f t="shared" si="3"/>
        <v>48</v>
      </c>
      <c r="I22" s="286">
        <f t="shared" si="3"/>
        <v>103</v>
      </c>
      <c r="J22" s="286">
        <f t="shared" si="3"/>
        <v>11453</v>
      </c>
      <c r="K22" s="286">
        <f t="shared" si="3"/>
        <v>25548</v>
      </c>
      <c r="L22" s="287">
        <f t="shared" si="3"/>
        <v>1052</v>
      </c>
      <c r="M22" s="288">
        <f t="shared" si="3"/>
        <v>397</v>
      </c>
      <c r="N22" s="289">
        <f t="shared" si="3"/>
        <v>766</v>
      </c>
      <c r="O22" s="284">
        <f t="shared" si="3"/>
        <v>665</v>
      </c>
      <c r="P22" s="286">
        <f t="shared" si="3"/>
        <v>10199</v>
      </c>
      <c r="Q22" s="290">
        <f t="shared" si="3"/>
        <v>11478</v>
      </c>
      <c r="R22" s="300"/>
    </row>
    <row r="23" spans="2:18" ht="15" customHeight="1">
      <c r="B23" s="3" t="s">
        <v>8</v>
      </c>
      <c r="C23" s="292">
        <f>+D23+N23+O23+P23+Q23</f>
        <v>17911</v>
      </c>
      <c r="D23" s="293">
        <f>SUM(E23:M23)</f>
        <v>11711</v>
      </c>
      <c r="E23" s="294">
        <f>312+122</f>
        <v>434</v>
      </c>
      <c r="F23" s="295">
        <v>1016</v>
      </c>
      <c r="G23" s="295">
        <v>15</v>
      </c>
      <c r="H23" s="295">
        <v>9</v>
      </c>
      <c r="I23" s="295">
        <v>35</v>
      </c>
      <c r="J23" s="295">
        <v>3014</v>
      </c>
      <c r="K23" s="295">
        <f>6695+20</f>
        <v>6715</v>
      </c>
      <c r="L23" s="296">
        <f>217+117</f>
        <v>334</v>
      </c>
      <c r="M23" s="297">
        <v>139</v>
      </c>
      <c r="N23" s="298">
        <v>230</v>
      </c>
      <c r="O23" s="293">
        <v>201</v>
      </c>
      <c r="P23" s="295">
        <v>2747</v>
      </c>
      <c r="Q23" s="299">
        <v>3022</v>
      </c>
      <c r="R23" s="300"/>
    </row>
    <row r="24" spans="2:18" ht="15" customHeight="1">
      <c r="B24" s="3" t="s">
        <v>9</v>
      </c>
      <c r="C24" s="292">
        <f>+D24+N24+O24+P24+Q24</f>
        <v>23417</v>
      </c>
      <c r="D24" s="293">
        <f>SUM(E24:M24)</f>
        <v>15949</v>
      </c>
      <c r="E24" s="294">
        <f>729+301</f>
        <v>1030</v>
      </c>
      <c r="F24" s="295">
        <f>1387+8</f>
        <v>1395</v>
      </c>
      <c r="G24" s="295">
        <f>24+51</f>
        <v>75</v>
      </c>
      <c r="H24" s="295">
        <v>30</v>
      </c>
      <c r="I24" s="295">
        <v>36</v>
      </c>
      <c r="J24" s="295">
        <v>3982</v>
      </c>
      <c r="K24" s="295">
        <v>8850</v>
      </c>
      <c r="L24" s="296">
        <f>355+59</f>
        <v>414</v>
      </c>
      <c r="M24" s="297">
        <v>137</v>
      </c>
      <c r="N24" s="298">
        <v>279</v>
      </c>
      <c r="O24" s="293">
        <v>235</v>
      </c>
      <c r="P24" s="295">
        <v>3075</v>
      </c>
      <c r="Q24" s="299">
        <v>3879</v>
      </c>
      <c r="R24" s="300"/>
    </row>
    <row r="25" spans="2:18" ht="15" customHeight="1">
      <c r="B25" s="3" t="s">
        <v>11</v>
      </c>
      <c r="C25" s="292">
        <f>+D25+N25+O25+P25+Q25</f>
        <v>16683</v>
      </c>
      <c r="D25" s="293">
        <f>SUM(E25:M25)</f>
        <v>11121</v>
      </c>
      <c r="E25" s="294">
        <f>370+136</f>
        <v>506</v>
      </c>
      <c r="F25" s="295">
        <f>979+9</f>
        <v>988</v>
      </c>
      <c r="G25" s="295">
        <v>12</v>
      </c>
      <c r="H25" s="295">
        <v>7</v>
      </c>
      <c r="I25" s="295">
        <v>16</v>
      </c>
      <c r="J25" s="295">
        <v>2864</v>
      </c>
      <c r="K25" s="295">
        <f>6447+11</f>
        <v>6458</v>
      </c>
      <c r="L25" s="296">
        <f>181+19</f>
        <v>200</v>
      </c>
      <c r="M25" s="297">
        <v>70</v>
      </c>
      <c r="N25" s="298">
        <v>174</v>
      </c>
      <c r="O25" s="293">
        <v>137</v>
      </c>
      <c r="P25" s="295">
        <v>2300</v>
      </c>
      <c r="Q25" s="299">
        <v>2951</v>
      </c>
      <c r="R25" s="300"/>
    </row>
    <row r="26" spans="2:18" ht="15" customHeight="1">
      <c r="B26" s="4" t="s">
        <v>300</v>
      </c>
      <c r="C26" s="292">
        <f>+D26+N26+O26+P26+Q26</f>
        <v>10074</v>
      </c>
      <c r="D26" s="293">
        <f>SUM(E26:M26)</f>
        <v>6196</v>
      </c>
      <c r="E26" s="301">
        <f>192+114</f>
        <v>306</v>
      </c>
      <c r="F26" s="302">
        <f>566+5</f>
        <v>571</v>
      </c>
      <c r="G26" s="302">
        <v>28</v>
      </c>
      <c r="H26" s="302">
        <v>2</v>
      </c>
      <c r="I26" s="302">
        <v>16</v>
      </c>
      <c r="J26" s="302">
        <v>1593</v>
      </c>
      <c r="K26" s="302">
        <v>3525</v>
      </c>
      <c r="L26" s="303">
        <v>104</v>
      </c>
      <c r="M26" s="304">
        <v>51</v>
      </c>
      <c r="N26" s="305">
        <v>83</v>
      </c>
      <c r="O26" s="306">
        <v>92</v>
      </c>
      <c r="P26" s="302">
        <v>2077</v>
      </c>
      <c r="Q26" s="307">
        <v>1626</v>
      </c>
      <c r="R26" s="300"/>
    </row>
    <row r="27" spans="2:18" ht="15" customHeight="1">
      <c r="B27" s="6" t="s">
        <v>16</v>
      </c>
      <c r="C27" s="283">
        <f aca="true" t="shared" si="4" ref="C27:Q27">SUM(C28:C31)</f>
        <v>69147</v>
      </c>
      <c r="D27" s="284">
        <f t="shared" si="4"/>
        <v>45234</v>
      </c>
      <c r="E27" s="285">
        <f t="shared" si="4"/>
        <v>2283</v>
      </c>
      <c r="F27" s="286">
        <f t="shared" si="4"/>
        <v>3814</v>
      </c>
      <c r="G27" s="286">
        <f t="shared" si="4"/>
        <v>123</v>
      </c>
      <c r="H27" s="286">
        <f t="shared" si="4"/>
        <v>45</v>
      </c>
      <c r="I27" s="286">
        <f t="shared" si="4"/>
        <v>100</v>
      </c>
      <c r="J27" s="286">
        <f t="shared" si="4"/>
        <v>12149</v>
      </c>
      <c r="K27" s="286">
        <f t="shared" si="4"/>
        <v>25289</v>
      </c>
      <c r="L27" s="287">
        <f t="shared" si="4"/>
        <v>1030</v>
      </c>
      <c r="M27" s="288">
        <f t="shared" si="4"/>
        <v>401</v>
      </c>
      <c r="N27" s="289">
        <f t="shared" si="4"/>
        <v>759</v>
      </c>
      <c r="O27" s="284">
        <f t="shared" si="4"/>
        <v>684</v>
      </c>
      <c r="P27" s="286">
        <f t="shared" si="4"/>
        <v>10059</v>
      </c>
      <c r="Q27" s="290">
        <f t="shared" si="4"/>
        <v>12411</v>
      </c>
      <c r="R27" s="300"/>
    </row>
    <row r="28" spans="2:18" ht="15" customHeight="1">
      <c r="B28" s="3" t="s">
        <v>8</v>
      </c>
      <c r="C28" s="292">
        <f>+D28+N28+O28+P28+Q28</f>
        <v>18134</v>
      </c>
      <c r="D28" s="293">
        <f>SUM(E28:M28)</f>
        <v>11726</v>
      </c>
      <c r="E28" s="294">
        <f>303+126</f>
        <v>429</v>
      </c>
      <c r="F28" s="295">
        <f>965+6</f>
        <v>971</v>
      </c>
      <c r="G28" s="295">
        <v>13</v>
      </c>
      <c r="H28" s="295">
        <v>8</v>
      </c>
      <c r="I28" s="295">
        <v>32</v>
      </c>
      <c r="J28" s="295">
        <v>3164</v>
      </c>
      <c r="K28" s="295">
        <v>6623</v>
      </c>
      <c r="L28" s="296">
        <v>340</v>
      </c>
      <c r="M28" s="297">
        <v>146</v>
      </c>
      <c r="N28" s="298">
        <v>220</v>
      </c>
      <c r="O28" s="293">
        <v>209</v>
      </c>
      <c r="P28" s="295">
        <v>2728</v>
      </c>
      <c r="Q28" s="299">
        <v>3251</v>
      </c>
      <c r="R28" s="300"/>
    </row>
    <row r="29" spans="2:18" ht="15" customHeight="1">
      <c r="B29" s="3" t="s">
        <v>9</v>
      </c>
      <c r="C29" s="292">
        <f>+D29+N29+O29+P29+Q29</f>
        <v>23768</v>
      </c>
      <c r="D29" s="293">
        <f>SUM(E29:M29)</f>
        <v>16111</v>
      </c>
      <c r="E29" s="294">
        <f>712+327</f>
        <v>1039</v>
      </c>
      <c r="F29" s="295">
        <f>1339+2</f>
        <v>1341</v>
      </c>
      <c r="G29" s="295">
        <f>22+49</f>
        <v>71</v>
      </c>
      <c r="H29" s="295">
        <v>29</v>
      </c>
      <c r="I29" s="295">
        <v>35</v>
      </c>
      <c r="J29" s="295">
        <v>4261</v>
      </c>
      <c r="K29" s="295">
        <f>8770+24</f>
        <v>8794</v>
      </c>
      <c r="L29" s="296">
        <f>347+57</f>
        <v>404</v>
      </c>
      <c r="M29" s="297">
        <v>137</v>
      </c>
      <c r="N29" s="298">
        <v>281</v>
      </c>
      <c r="O29" s="293">
        <v>243</v>
      </c>
      <c r="P29" s="295">
        <v>3023</v>
      </c>
      <c r="Q29" s="299">
        <v>4110</v>
      </c>
      <c r="R29" s="300"/>
    </row>
    <row r="30" spans="2:18" ht="15" customHeight="1">
      <c r="B30" s="3" t="s">
        <v>11</v>
      </c>
      <c r="C30" s="292">
        <f>+D30+N30+O30+P30+Q30</f>
        <v>16871</v>
      </c>
      <c r="D30" s="293">
        <f>SUM(E30:M30)</f>
        <v>11117</v>
      </c>
      <c r="E30" s="294">
        <f>358+133</f>
        <v>491</v>
      </c>
      <c r="F30" s="295">
        <f>948+11</f>
        <v>959</v>
      </c>
      <c r="G30" s="295">
        <v>12</v>
      </c>
      <c r="H30" s="295">
        <v>6</v>
      </c>
      <c r="I30" s="295">
        <v>16</v>
      </c>
      <c r="J30" s="295">
        <v>3032</v>
      </c>
      <c r="K30" s="295">
        <f>6335+14</f>
        <v>6349</v>
      </c>
      <c r="L30" s="296">
        <f>165+21</f>
        <v>186</v>
      </c>
      <c r="M30" s="297">
        <v>66</v>
      </c>
      <c r="N30" s="298">
        <v>168</v>
      </c>
      <c r="O30" s="293">
        <v>138</v>
      </c>
      <c r="P30" s="295">
        <v>2227</v>
      </c>
      <c r="Q30" s="299">
        <v>3221</v>
      </c>
      <c r="R30" s="300"/>
    </row>
    <row r="31" spans="2:18" ht="15" customHeight="1">
      <c r="B31" s="4" t="s">
        <v>300</v>
      </c>
      <c r="C31" s="292">
        <f>+D31+N31+O31+P31+Q31</f>
        <v>10374</v>
      </c>
      <c r="D31" s="293">
        <f>SUM(E31:M31)</f>
        <v>6280</v>
      </c>
      <c r="E31" s="301">
        <f>195+129</f>
        <v>324</v>
      </c>
      <c r="F31" s="302">
        <f>539+4</f>
        <v>543</v>
      </c>
      <c r="G31" s="302">
        <v>27</v>
      </c>
      <c r="H31" s="302">
        <v>2</v>
      </c>
      <c r="I31" s="302">
        <v>17</v>
      </c>
      <c r="J31" s="302">
        <v>1692</v>
      </c>
      <c r="K31" s="302">
        <v>3523</v>
      </c>
      <c r="L31" s="303">
        <v>100</v>
      </c>
      <c r="M31" s="304">
        <v>52</v>
      </c>
      <c r="N31" s="305">
        <v>90</v>
      </c>
      <c r="O31" s="306">
        <v>94</v>
      </c>
      <c r="P31" s="302">
        <v>2081</v>
      </c>
      <c r="Q31" s="307">
        <v>1829</v>
      </c>
      <c r="R31" s="300"/>
    </row>
    <row r="32" spans="2:18" ht="15" customHeight="1">
      <c r="B32" s="6" t="s">
        <v>12</v>
      </c>
      <c r="C32" s="283">
        <f aca="true" t="shared" si="5" ref="C32:Q32">SUM(C33:C36)</f>
        <v>70275</v>
      </c>
      <c r="D32" s="284">
        <f t="shared" si="5"/>
        <v>45610</v>
      </c>
      <c r="E32" s="285">
        <f t="shared" si="5"/>
        <v>2288</v>
      </c>
      <c r="F32" s="286">
        <f t="shared" si="5"/>
        <v>3672</v>
      </c>
      <c r="G32" s="286">
        <f t="shared" si="5"/>
        <v>117</v>
      </c>
      <c r="H32" s="286">
        <f t="shared" si="5"/>
        <v>48</v>
      </c>
      <c r="I32" s="286">
        <f t="shared" si="5"/>
        <v>91</v>
      </c>
      <c r="J32" s="286">
        <f t="shared" si="5"/>
        <v>12663</v>
      </c>
      <c r="K32" s="286">
        <f t="shared" si="5"/>
        <v>25284</v>
      </c>
      <c r="L32" s="287">
        <f t="shared" si="5"/>
        <v>1040</v>
      </c>
      <c r="M32" s="288">
        <f t="shared" si="5"/>
        <v>407</v>
      </c>
      <c r="N32" s="289">
        <f t="shared" si="5"/>
        <v>775</v>
      </c>
      <c r="O32" s="284">
        <f t="shared" si="5"/>
        <v>693</v>
      </c>
      <c r="P32" s="286">
        <f t="shared" si="5"/>
        <v>9858</v>
      </c>
      <c r="Q32" s="290">
        <f t="shared" si="5"/>
        <v>13339</v>
      </c>
      <c r="R32" s="300"/>
    </row>
    <row r="33" spans="2:18" ht="15" customHeight="1">
      <c r="B33" s="3" t="s">
        <v>8</v>
      </c>
      <c r="C33" s="292">
        <f>+D33+N33+O33+P33+Q33</f>
        <v>18294</v>
      </c>
      <c r="D33" s="293">
        <f>SUM(E33:M33)</f>
        <v>11750</v>
      </c>
      <c r="E33" s="294">
        <f>297+140</f>
        <v>437</v>
      </c>
      <c r="F33" s="295">
        <f>929+5</f>
        <v>934</v>
      </c>
      <c r="G33" s="295">
        <v>16</v>
      </c>
      <c r="H33" s="295">
        <v>8</v>
      </c>
      <c r="I33" s="295">
        <v>28</v>
      </c>
      <c r="J33" s="295">
        <v>3318</v>
      </c>
      <c r="K33" s="295">
        <f>6519+23</f>
        <v>6542</v>
      </c>
      <c r="L33" s="296">
        <f>213+111</f>
        <v>324</v>
      </c>
      <c r="M33" s="297">
        <v>143</v>
      </c>
      <c r="N33" s="298">
        <v>215</v>
      </c>
      <c r="O33" s="293">
        <v>211</v>
      </c>
      <c r="P33" s="295">
        <v>2685</v>
      </c>
      <c r="Q33" s="299">
        <v>3433</v>
      </c>
      <c r="R33" s="300"/>
    </row>
    <row r="34" spans="2:18" ht="15" customHeight="1">
      <c r="B34" s="3" t="s">
        <v>9</v>
      </c>
      <c r="C34" s="292">
        <f>+D34+N34+O34+P34+Q34</f>
        <v>24160</v>
      </c>
      <c r="D34" s="293">
        <f>SUM(E34:M34)</f>
        <v>16189</v>
      </c>
      <c r="E34" s="294">
        <f>678+360</f>
        <v>1038</v>
      </c>
      <c r="F34" s="295">
        <f>1276+8</f>
        <v>1284</v>
      </c>
      <c r="G34" s="295">
        <f>20+42</f>
        <v>62</v>
      </c>
      <c r="H34" s="295">
        <v>30</v>
      </c>
      <c r="I34" s="295">
        <v>33</v>
      </c>
      <c r="J34" s="295">
        <v>4414</v>
      </c>
      <c r="K34" s="295">
        <f>8740+26</f>
        <v>8766</v>
      </c>
      <c r="L34" s="296">
        <f>359+63</f>
        <v>422</v>
      </c>
      <c r="M34" s="297">
        <v>140</v>
      </c>
      <c r="N34" s="298">
        <v>286</v>
      </c>
      <c r="O34" s="293">
        <v>244</v>
      </c>
      <c r="P34" s="295">
        <v>2975</v>
      </c>
      <c r="Q34" s="299">
        <v>4466</v>
      </c>
      <c r="R34" s="300"/>
    </row>
    <row r="35" spans="2:18" ht="15" customHeight="1">
      <c r="B35" s="3" t="s">
        <v>11</v>
      </c>
      <c r="C35" s="292">
        <f>+D35+N35+O35+P35+Q35</f>
        <v>17315</v>
      </c>
      <c r="D35" s="293">
        <f>SUM(E35:M35)</f>
        <v>11296</v>
      </c>
      <c r="E35" s="294">
        <f>357+143</f>
        <v>500</v>
      </c>
      <c r="F35" s="295">
        <v>922</v>
      </c>
      <c r="G35" s="295">
        <v>14</v>
      </c>
      <c r="H35" s="295">
        <v>6</v>
      </c>
      <c r="I35" s="295">
        <v>15</v>
      </c>
      <c r="J35" s="295">
        <v>3178</v>
      </c>
      <c r="K35" s="295">
        <f>6382+14</f>
        <v>6396</v>
      </c>
      <c r="L35" s="296">
        <f>171+23</f>
        <v>194</v>
      </c>
      <c r="M35" s="297">
        <v>71</v>
      </c>
      <c r="N35" s="298">
        <v>172</v>
      </c>
      <c r="O35" s="293">
        <v>146</v>
      </c>
      <c r="P35" s="295">
        <v>2168</v>
      </c>
      <c r="Q35" s="299">
        <v>3533</v>
      </c>
      <c r="R35" s="300"/>
    </row>
    <row r="36" spans="2:18" ht="15" customHeight="1">
      <c r="B36" s="4" t="s">
        <v>300</v>
      </c>
      <c r="C36" s="292">
        <f>+D36+N36+O36+P36+Q36</f>
        <v>10506</v>
      </c>
      <c r="D36" s="293">
        <f>SUM(E36:M36)</f>
        <v>6375</v>
      </c>
      <c r="E36" s="301">
        <f>193+120</f>
        <v>313</v>
      </c>
      <c r="F36" s="302">
        <f>526+6</f>
        <v>532</v>
      </c>
      <c r="G36" s="302">
        <v>25</v>
      </c>
      <c r="H36" s="302">
        <v>4</v>
      </c>
      <c r="I36" s="302">
        <v>15</v>
      </c>
      <c r="J36" s="302">
        <v>1753</v>
      </c>
      <c r="K36" s="302">
        <v>3580</v>
      </c>
      <c r="L36" s="303">
        <v>100</v>
      </c>
      <c r="M36" s="304">
        <v>53</v>
      </c>
      <c r="N36" s="305">
        <v>102</v>
      </c>
      <c r="O36" s="306">
        <v>92</v>
      </c>
      <c r="P36" s="302">
        <v>2030</v>
      </c>
      <c r="Q36" s="307">
        <v>1907</v>
      </c>
      <c r="R36" s="300"/>
    </row>
    <row r="37" spans="2:18" ht="15" customHeight="1">
      <c r="B37" s="6" t="s">
        <v>13</v>
      </c>
      <c r="C37" s="283">
        <v>71352</v>
      </c>
      <c r="D37" s="284">
        <v>45869</v>
      </c>
      <c r="E37" s="285">
        <f>1524+761</f>
        <v>2285</v>
      </c>
      <c r="F37" s="286">
        <f>3578+37</f>
        <v>3615</v>
      </c>
      <c r="G37" s="286">
        <f>24+94</f>
        <v>118</v>
      </c>
      <c r="H37" s="286">
        <f>18+32</f>
        <v>50</v>
      </c>
      <c r="I37" s="286">
        <v>92</v>
      </c>
      <c r="J37" s="286">
        <v>13144</v>
      </c>
      <c r="K37" s="286">
        <v>25098</v>
      </c>
      <c r="L37" s="287">
        <f>842+207</f>
        <v>1049</v>
      </c>
      <c r="M37" s="288">
        <v>418</v>
      </c>
      <c r="N37" s="289">
        <v>767</v>
      </c>
      <c r="O37" s="284">
        <v>691</v>
      </c>
      <c r="P37" s="286">
        <v>9802</v>
      </c>
      <c r="Q37" s="290">
        <v>14223</v>
      </c>
      <c r="R37" s="300"/>
    </row>
    <row r="38" spans="2:18" ht="15" customHeight="1">
      <c r="B38" s="3" t="s">
        <v>8</v>
      </c>
      <c r="C38" s="292">
        <v>18512</v>
      </c>
      <c r="D38" s="293">
        <f>11474+326</f>
        <v>11800</v>
      </c>
      <c r="E38" s="294">
        <f>301+151</f>
        <v>452</v>
      </c>
      <c r="F38" s="295">
        <f>901+8</f>
        <v>909</v>
      </c>
      <c r="G38" s="295">
        <f>2+14</f>
        <v>16</v>
      </c>
      <c r="H38" s="295">
        <f>6+2</f>
        <v>8</v>
      </c>
      <c r="I38" s="295">
        <v>25</v>
      </c>
      <c r="J38" s="295">
        <v>3420</v>
      </c>
      <c r="K38" s="295">
        <v>6497</v>
      </c>
      <c r="L38" s="296">
        <f>211+120</f>
        <v>331</v>
      </c>
      <c r="M38" s="297">
        <v>142</v>
      </c>
      <c r="N38" s="298">
        <v>215</v>
      </c>
      <c r="O38" s="293">
        <v>208</v>
      </c>
      <c r="P38" s="295">
        <v>2652</v>
      </c>
      <c r="Q38" s="299">
        <v>3637</v>
      </c>
      <c r="R38" s="300"/>
    </row>
    <row r="39" spans="2:18" ht="15" customHeight="1">
      <c r="B39" s="3" t="s">
        <v>9</v>
      </c>
      <c r="C39" s="292">
        <v>24615</v>
      </c>
      <c r="D39" s="293">
        <f>15767+534</f>
        <v>16301</v>
      </c>
      <c r="E39" s="294">
        <f>671+360</f>
        <v>1031</v>
      </c>
      <c r="F39" s="295">
        <f>1269+8</f>
        <v>1277</v>
      </c>
      <c r="G39" s="295">
        <f>22+41</f>
        <v>63</v>
      </c>
      <c r="H39" s="295">
        <f>4+26</f>
        <v>30</v>
      </c>
      <c r="I39" s="295">
        <v>38</v>
      </c>
      <c r="J39" s="295">
        <v>4626</v>
      </c>
      <c r="K39" s="295">
        <v>8692</v>
      </c>
      <c r="L39" s="296">
        <f>343+62</f>
        <v>405</v>
      </c>
      <c r="M39" s="297">
        <v>139</v>
      </c>
      <c r="N39" s="298">
        <v>265</v>
      </c>
      <c r="O39" s="293">
        <v>244</v>
      </c>
      <c r="P39" s="295">
        <v>2984</v>
      </c>
      <c r="Q39" s="299">
        <v>4821</v>
      </c>
      <c r="R39" s="300"/>
    </row>
    <row r="40" spans="2:18" ht="15" customHeight="1">
      <c r="B40" s="3" t="s">
        <v>11</v>
      </c>
      <c r="C40" s="292">
        <v>17545</v>
      </c>
      <c r="D40" s="293">
        <f>11129+217</f>
        <v>11346</v>
      </c>
      <c r="E40" s="294">
        <f>353+142</f>
        <v>495</v>
      </c>
      <c r="F40" s="295">
        <f>886+18</f>
        <v>904</v>
      </c>
      <c r="G40" s="295">
        <v>16</v>
      </c>
      <c r="H40" s="295">
        <v>6</v>
      </c>
      <c r="I40" s="295">
        <v>14</v>
      </c>
      <c r="J40" s="295">
        <v>3268</v>
      </c>
      <c r="K40" s="295">
        <v>6368</v>
      </c>
      <c r="L40" s="296">
        <f>180+24</f>
        <v>204</v>
      </c>
      <c r="M40" s="297">
        <v>71</v>
      </c>
      <c r="N40" s="298">
        <v>174</v>
      </c>
      <c r="O40" s="293">
        <v>145</v>
      </c>
      <c r="P40" s="295">
        <v>2144</v>
      </c>
      <c r="Q40" s="299">
        <v>3736</v>
      </c>
      <c r="R40" s="300"/>
    </row>
    <row r="41" spans="2:18" ht="15" customHeight="1">
      <c r="B41" s="4" t="s">
        <v>300</v>
      </c>
      <c r="C41" s="308">
        <v>10648</v>
      </c>
      <c r="D41" s="306">
        <f>6245+145</f>
        <v>6390</v>
      </c>
      <c r="E41" s="301">
        <f>197+108</f>
        <v>305</v>
      </c>
      <c r="F41" s="302">
        <f>519+3</f>
        <v>522</v>
      </c>
      <c r="G41" s="302">
        <v>23</v>
      </c>
      <c r="H41" s="302">
        <v>6</v>
      </c>
      <c r="I41" s="302">
        <v>15</v>
      </c>
      <c r="J41" s="302">
        <v>1824</v>
      </c>
      <c r="K41" s="302">
        <v>3537</v>
      </c>
      <c r="L41" s="303">
        <f>105+1</f>
        <v>106</v>
      </c>
      <c r="M41" s="304">
        <v>52</v>
      </c>
      <c r="N41" s="305">
        <v>113</v>
      </c>
      <c r="O41" s="306">
        <v>94</v>
      </c>
      <c r="P41" s="302">
        <v>2022</v>
      </c>
      <c r="Q41" s="307">
        <v>2029</v>
      </c>
      <c r="R41" s="300"/>
    </row>
    <row r="42" spans="2:41" s="5" customFormat="1" ht="15" customHeight="1">
      <c r="B42" s="309" t="s">
        <v>7</v>
      </c>
      <c r="C42" s="310">
        <v>72571</v>
      </c>
      <c r="D42" s="311">
        <v>46202</v>
      </c>
      <c r="E42" s="312">
        <v>2288</v>
      </c>
      <c r="F42" s="313">
        <v>3563</v>
      </c>
      <c r="G42" s="313">
        <v>113</v>
      </c>
      <c r="H42" s="313">
        <v>49</v>
      </c>
      <c r="I42" s="313">
        <v>93</v>
      </c>
      <c r="J42" s="313">
        <v>13591</v>
      </c>
      <c r="K42" s="313">
        <v>25044</v>
      </c>
      <c r="L42" s="313">
        <v>1034</v>
      </c>
      <c r="M42" s="314">
        <v>427</v>
      </c>
      <c r="N42" s="315">
        <v>775</v>
      </c>
      <c r="O42" s="311">
        <v>682</v>
      </c>
      <c r="P42" s="313">
        <v>9731</v>
      </c>
      <c r="Q42" s="316">
        <v>15181</v>
      </c>
      <c r="R42" s="314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</row>
    <row r="43" spans="2:41" ht="15" customHeight="1">
      <c r="B43" s="3" t="s">
        <v>8</v>
      </c>
      <c r="C43" s="319">
        <v>18657</v>
      </c>
      <c r="D43" s="320">
        <v>11798</v>
      </c>
      <c r="E43" s="321">
        <v>449</v>
      </c>
      <c r="F43" s="322">
        <v>897</v>
      </c>
      <c r="G43" s="322">
        <v>16</v>
      </c>
      <c r="H43" s="322">
        <v>9</v>
      </c>
      <c r="I43" s="322">
        <v>23</v>
      </c>
      <c r="J43" s="322">
        <v>3496</v>
      </c>
      <c r="K43" s="322">
        <v>6445</v>
      </c>
      <c r="L43" s="322">
        <v>319</v>
      </c>
      <c r="M43" s="323">
        <v>144</v>
      </c>
      <c r="N43" s="324">
        <v>224</v>
      </c>
      <c r="O43" s="320">
        <v>193</v>
      </c>
      <c r="P43" s="322">
        <v>2637</v>
      </c>
      <c r="Q43" s="325">
        <v>3805</v>
      </c>
      <c r="R43" s="323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2:41" ht="15" customHeight="1">
      <c r="B44" s="3" t="s">
        <v>9</v>
      </c>
      <c r="C44" s="319">
        <v>25090</v>
      </c>
      <c r="D44" s="320">
        <v>16414</v>
      </c>
      <c r="E44" s="321">
        <v>1011</v>
      </c>
      <c r="F44" s="322">
        <v>1256</v>
      </c>
      <c r="G44" s="322">
        <v>55</v>
      </c>
      <c r="H44" s="322">
        <v>28</v>
      </c>
      <c r="I44" s="322">
        <v>43</v>
      </c>
      <c r="J44" s="322">
        <v>4792</v>
      </c>
      <c r="K44" s="322">
        <v>8691</v>
      </c>
      <c r="L44" s="322">
        <v>390</v>
      </c>
      <c r="M44" s="323">
        <v>148</v>
      </c>
      <c r="N44" s="324">
        <v>259</v>
      </c>
      <c r="O44" s="320">
        <v>251</v>
      </c>
      <c r="P44" s="322">
        <v>2952</v>
      </c>
      <c r="Q44" s="325">
        <v>5214</v>
      </c>
      <c r="R44" s="323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2:41" ht="15" customHeight="1">
      <c r="B45" s="3" t="s">
        <v>11</v>
      </c>
      <c r="C45" s="319">
        <v>17912</v>
      </c>
      <c r="D45" s="320">
        <v>11471</v>
      </c>
      <c r="E45" s="321">
        <v>511</v>
      </c>
      <c r="F45" s="322">
        <v>897</v>
      </c>
      <c r="G45" s="322">
        <v>17</v>
      </c>
      <c r="H45" s="322">
        <v>5</v>
      </c>
      <c r="I45" s="322">
        <v>13</v>
      </c>
      <c r="J45" s="322">
        <v>3395</v>
      </c>
      <c r="K45" s="322">
        <v>6349</v>
      </c>
      <c r="L45" s="322">
        <v>214</v>
      </c>
      <c r="M45" s="323">
        <v>70</v>
      </c>
      <c r="N45" s="324">
        <v>179</v>
      </c>
      <c r="O45" s="320">
        <v>146</v>
      </c>
      <c r="P45" s="322">
        <v>2130</v>
      </c>
      <c r="Q45" s="325">
        <v>3986</v>
      </c>
      <c r="R45" s="323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</row>
    <row r="46" spans="2:41" ht="15" customHeight="1">
      <c r="B46" s="4" t="s">
        <v>300</v>
      </c>
      <c r="C46" s="327">
        <v>10881</v>
      </c>
      <c r="D46" s="180">
        <v>6488</v>
      </c>
      <c r="E46" s="191">
        <v>315</v>
      </c>
      <c r="F46" s="328">
        <v>509</v>
      </c>
      <c r="G46" s="328">
        <v>25</v>
      </c>
      <c r="H46" s="328">
        <v>7</v>
      </c>
      <c r="I46" s="328">
        <v>14</v>
      </c>
      <c r="J46" s="328">
        <v>1903</v>
      </c>
      <c r="K46" s="328">
        <v>3556</v>
      </c>
      <c r="L46" s="328">
        <v>108</v>
      </c>
      <c r="M46" s="181">
        <v>51</v>
      </c>
      <c r="N46" s="184">
        <v>113</v>
      </c>
      <c r="O46" s="180">
        <v>92</v>
      </c>
      <c r="P46" s="328">
        <v>2012</v>
      </c>
      <c r="Q46" s="183">
        <v>2176</v>
      </c>
      <c r="R46" s="323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2:41" s="5" customFormat="1" ht="15" customHeight="1">
      <c r="B47" s="17" t="s">
        <v>17</v>
      </c>
      <c r="C47" s="329">
        <v>73465</v>
      </c>
      <c r="D47" s="330">
        <v>44903</v>
      </c>
      <c r="E47" s="331">
        <v>2323</v>
      </c>
      <c r="F47" s="332">
        <v>3459</v>
      </c>
      <c r="G47" s="332">
        <v>124</v>
      </c>
      <c r="H47" s="332">
        <v>44</v>
      </c>
      <c r="I47" s="332">
        <v>94</v>
      </c>
      <c r="J47" s="332">
        <v>13785</v>
      </c>
      <c r="K47" s="332">
        <v>24916</v>
      </c>
      <c r="L47" s="332">
        <v>1014</v>
      </c>
      <c r="M47" s="333">
        <v>409</v>
      </c>
      <c r="N47" s="334">
        <v>766</v>
      </c>
      <c r="O47" s="330">
        <v>696</v>
      </c>
      <c r="P47" s="332">
        <v>9731</v>
      </c>
      <c r="Q47" s="335">
        <v>16104</v>
      </c>
      <c r="R47" s="314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</row>
    <row r="48" spans="2:41" s="5" customFormat="1" ht="15" customHeight="1">
      <c r="B48" s="17" t="s">
        <v>24</v>
      </c>
      <c r="C48" s="329">
        <v>74232</v>
      </c>
      <c r="D48" s="330">
        <f>45823</f>
        <v>45823</v>
      </c>
      <c r="E48" s="331">
        <v>2375</v>
      </c>
      <c r="F48" s="332">
        <v>3368</v>
      </c>
      <c r="G48" s="332">
        <v>130</v>
      </c>
      <c r="H48" s="332">
        <v>47</v>
      </c>
      <c r="I48" s="332">
        <v>90</v>
      </c>
      <c r="J48" s="332">
        <v>13954</v>
      </c>
      <c r="K48" s="332">
        <v>24440</v>
      </c>
      <c r="L48" s="332">
        <v>1010</v>
      </c>
      <c r="M48" s="333">
        <v>409</v>
      </c>
      <c r="N48" s="334">
        <v>777</v>
      </c>
      <c r="O48" s="330">
        <v>725</v>
      </c>
      <c r="P48" s="332">
        <v>9589</v>
      </c>
      <c r="Q48" s="335">
        <v>17220</v>
      </c>
      <c r="R48" s="336">
        <v>98</v>
      </c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</row>
    <row r="49" spans="2:41" s="5" customFormat="1" ht="15" customHeight="1">
      <c r="B49" s="17" t="s">
        <v>25</v>
      </c>
      <c r="C49" s="329">
        <v>74077</v>
      </c>
      <c r="D49" s="330">
        <v>45087</v>
      </c>
      <c r="E49" s="331">
        <v>2368</v>
      </c>
      <c r="F49" s="332">
        <v>3207</v>
      </c>
      <c r="G49" s="332">
        <v>132</v>
      </c>
      <c r="H49" s="332">
        <v>46</v>
      </c>
      <c r="I49" s="332">
        <v>83</v>
      </c>
      <c r="J49" s="332">
        <v>14034</v>
      </c>
      <c r="K49" s="332">
        <v>23778</v>
      </c>
      <c r="L49" s="332">
        <v>1017</v>
      </c>
      <c r="M49" s="333">
        <v>422</v>
      </c>
      <c r="N49" s="334">
        <v>794</v>
      </c>
      <c r="O49" s="330">
        <v>739</v>
      </c>
      <c r="P49" s="332">
        <v>9442</v>
      </c>
      <c r="Q49" s="335">
        <v>17913</v>
      </c>
      <c r="R49" s="336">
        <v>102</v>
      </c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</row>
    <row r="50" spans="2:41" s="5" customFormat="1" ht="15" customHeight="1">
      <c r="B50" s="17" t="s">
        <v>26</v>
      </c>
      <c r="C50" s="329">
        <v>73960</v>
      </c>
      <c r="D50" s="330">
        <v>44229</v>
      </c>
      <c r="E50" s="331">
        <v>2259</v>
      </c>
      <c r="F50" s="332">
        <v>3016</v>
      </c>
      <c r="G50" s="332">
        <v>134</v>
      </c>
      <c r="H50" s="332">
        <v>54</v>
      </c>
      <c r="I50" s="332">
        <v>89</v>
      </c>
      <c r="J50" s="332">
        <v>13949</v>
      </c>
      <c r="K50" s="332">
        <v>23298</v>
      </c>
      <c r="L50" s="332">
        <v>1006</v>
      </c>
      <c r="M50" s="333">
        <v>424</v>
      </c>
      <c r="N50" s="334">
        <v>824</v>
      </c>
      <c r="O50" s="330">
        <v>763</v>
      </c>
      <c r="P50" s="332">
        <v>9357</v>
      </c>
      <c r="Q50" s="335">
        <v>18672</v>
      </c>
      <c r="R50" s="336">
        <v>115</v>
      </c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</row>
    <row r="51" spans="2:41" s="5" customFormat="1" ht="15" customHeight="1">
      <c r="B51" s="17" t="s">
        <v>29</v>
      </c>
      <c r="C51" s="329">
        <v>74018</v>
      </c>
      <c r="D51" s="330">
        <v>43669</v>
      </c>
      <c r="E51" s="331">
        <v>2185</v>
      </c>
      <c r="F51" s="332">
        <v>2927</v>
      </c>
      <c r="G51" s="332">
        <v>127</v>
      </c>
      <c r="H51" s="332">
        <v>56</v>
      </c>
      <c r="I51" s="332">
        <v>83</v>
      </c>
      <c r="J51" s="332">
        <v>14083</v>
      </c>
      <c r="K51" s="332">
        <v>22818</v>
      </c>
      <c r="L51" s="332">
        <v>971</v>
      </c>
      <c r="M51" s="333">
        <v>419</v>
      </c>
      <c r="N51" s="334">
        <v>839</v>
      </c>
      <c r="O51" s="330">
        <v>774</v>
      </c>
      <c r="P51" s="332">
        <v>9176</v>
      </c>
      <c r="Q51" s="335">
        <v>19446</v>
      </c>
      <c r="R51" s="336">
        <v>114</v>
      </c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</row>
    <row r="52" spans="2:41" s="5" customFormat="1" ht="15" customHeight="1">
      <c r="B52" s="17" t="s">
        <v>30</v>
      </c>
      <c r="C52" s="329">
        <v>74129</v>
      </c>
      <c r="D52" s="330">
        <v>43261</v>
      </c>
      <c r="E52" s="331">
        <v>2110</v>
      </c>
      <c r="F52" s="332">
        <v>2802</v>
      </c>
      <c r="G52" s="332">
        <v>117</v>
      </c>
      <c r="H52" s="332">
        <v>55</v>
      </c>
      <c r="I52" s="332">
        <v>79</v>
      </c>
      <c r="J52" s="332">
        <v>14381</v>
      </c>
      <c r="K52" s="332">
        <v>22357</v>
      </c>
      <c r="L52" s="332">
        <v>938</v>
      </c>
      <c r="M52" s="333">
        <v>422</v>
      </c>
      <c r="N52" s="334">
        <v>833</v>
      </c>
      <c r="O52" s="330">
        <v>793</v>
      </c>
      <c r="P52" s="332">
        <v>9031</v>
      </c>
      <c r="Q52" s="335">
        <v>20092</v>
      </c>
      <c r="R52" s="336">
        <v>119</v>
      </c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</row>
    <row r="53" spans="2:41" s="340" customFormat="1" ht="15" customHeight="1">
      <c r="B53" s="337" t="s">
        <v>32</v>
      </c>
      <c r="C53" s="329">
        <v>74681</v>
      </c>
      <c r="D53" s="330">
        <v>43143</v>
      </c>
      <c r="E53" s="331">
        <v>2082</v>
      </c>
      <c r="F53" s="332">
        <v>2733</v>
      </c>
      <c r="G53" s="332">
        <v>114</v>
      </c>
      <c r="H53" s="332">
        <v>55</v>
      </c>
      <c r="I53" s="332">
        <v>81</v>
      </c>
      <c r="J53" s="332">
        <v>14648</v>
      </c>
      <c r="K53" s="332">
        <v>22079</v>
      </c>
      <c r="L53" s="332">
        <v>920</v>
      </c>
      <c r="M53" s="333">
        <v>431</v>
      </c>
      <c r="N53" s="334">
        <v>853</v>
      </c>
      <c r="O53" s="330">
        <v>811</v>
      </c>
      <c r="P53" s="332">
        <v>8965</v>
      </c>
      <c r="Q53" s="335">
        <v>20799</v>
      </c>
      <c r="R53" s="333">
        <v>110</v>
      </c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</row>
    <row r="54" spans="2:41" s="340" customFormat="1" ht="15" customHeight="1">
      <c r="B54" s="337" t="s">
        <v>33</v>
      </c>
      <c r="C54" s="329">
        <v>75349</v>
      </c>
      <c r="D54" s="330">
        <v>43011</v>
      </c>
      <c r="E54" s="331">
        <v>2063</v>
      </c>
      <c r="F54" s="332">
        <v>2668</v>
      </c>
      <c r="G54" s="332">
        <v>115</v>
      </c>
      <c r="H54" s="332">
        <v>56</v>
      </c>
      <c r="I54" s="332">
        <v>79</v>
      </c>
      <c r="J54" s="332">
        <v>14906</v>
      </c>
      <c r="K54" s="332">
        <v>21799</v>
      </c>
      <c r="L54" s="332">
        <v>896</v>
      </c>
      <c r="M54" s="333">
        <v>429</v>
      </c>
      <c r="N54" s="334">
        <v>862</v>
      </c>
      <c r="O54" s="330">
        <v>815</v>
      </c>
      <c r="P54" s="332">
        <v>9161</v>
      </c>
      <c r="Q54" s="335">
        <v>21393</v>
      </c>
      <c r="R54" s="333">
        <v>107</v>
      </c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</row>
    <row r="55" spans="2:41" s="340" customFormat="1" ht="15" customHeight="1">
      <c r="B55" s="337" t="s">
        <v>34</v>
      </c>
      <c r="C55" s="329">
        <v>75933</v>
      </c>
      <c r="D55" s="330">
        <v>42766</v>
      </c>
      <c r="E55" s="331">
        <v>2015</v>
      </c>
      <c r="F55" s="332">
        <v>2656</v>
      </c>
      <c r="G55" s="332">
        <v>115</v>
      </c>
      <c r="H55" s="332">
        <v>55</v>
      </c>
      <c r="I55" s="332">
        <v>80</v>
      </c>
      <c r="J55" s="332">
        <v>15167</v>
      </c>
      <c r="K55" s="332">
        <v>21331</v>
      </c>
      <c r="L55" s="332">
        <v>905</v>
      </c>
      <c r="M55" s="333">
        <v>442</v>
      </c>
      <c r="N55" s="334">
        <v>903</v>
      </c>
      <c r="O55" s="330">
        <v>828</v>
      </c>
      <c r="P55" s="332">
        <v>8799</v>
      </c>
      <c r="Q55" s="335">
        <v>22523</v>
      </c>
      <c r="R55" s="333">
        <v>114</v>
      </c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</row>
    <row r="56" spans="2:41" s="340" customFormat="1" ht="15" customHeight="1">
      <c r="B56" s="337" t="s">
        <v>35</v>
      </c>
      <c r="C56" s="329">
        <v>76821</v>
      </c>
      <c r="D56" s="330">
        <v>42587</v>
      </c>
      <c r="E56" s="331">
        <v>2072</v>
      </c>
      <c r="F56" s="332">
        <v>2600</v>
      </c>
      <c r="G56" s="332">
        <v>131</v>
      </c>
      <c r="H56" s="332">
        <v>55</v>
      </c>
      <c r="I56" s="332">
        <v>78</v>
      </c>
      <c r="J56" s="332">
        <v>15395</v>
      </c>
      <c r="K56" s="332">
        <v>20917</v>
      </c>
      <c r="L56" s="332">
        <v>889</v>
      </c>
      <c r="M56" s="333">
        <v>450</v>
      </c>
      <c r="N56" s="334">
        <v>941</v>
      </c>
      <c r="O56" s="330">
        <v>837</v>
      </c>
      <c r="P56" s="332">
        <v>8762</v>
      </c>
      <c r="Q56" s="335">
        <v>23585</v>
      </c>
      <c r="R56" s="333">
        <v>109</v>
      </c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</row>
    <row r="57" spans="3:41" ht="14.25" customHeight="1">
      <c r="C57" s="341"/>
      <c r="D57" s="34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R57" s="32" t="s">
        <v>301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</row>
    <row r="58" spans="3:41" ht="14.25" customHeight="1">
      <c r="C58" s="32"/>
      <c r="D58" s="32"/>
      <c r="E58" s="34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R58" s="32" t="s">
        <v>192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</row>
    <row r="59" spans="3:17" ht="11.2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3:17" ht="11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3:17" ht="11.2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3:17" ht="11.2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3:17" ht="11.2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3:17" ht="11.2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3:17" ht="11.2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3:17" ht="11.2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3:17" ht="11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3:17" ht="11.2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3:17" ht="11.2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3:17" ht="11.2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3:17" ht="11.2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3:17" ht="11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3:17" ht="11.2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3:17" ht="11.2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3:17" ht="11.2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3:17" ht="11.2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3:17" ht="11.2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3:17" ht="11.2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3:17" ht="11.2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3:17" ht="11.2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3:17" ht="11.2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3:17" ht="11.2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3:17" ht="11.2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3:17" ht="11.2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3:17" ht="11.2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3:17" ht="11.2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</sheetData>
  <sheetProtection/>
  <mergeCells count="23">
    <mergeCell ref="K5:K6"/>
    <mergeCell ref="L5:L6"/>
    <mergeCell ref="M5:M6"/>
    <mergeCell ref="O4:O6"/>
    <mergeCell ref="P4:P6"/>
    <mergeCell ref="Q4:Q6"/>
    <mergeCell ref="R4:R6"/>
    <mergeCell ref="E5:E6"/>
    <mergeCell ref="F5:F6"/>
    <mergeCell ref="G5:G6"/>
    <mergeCell ref="H5:H6"/>
    <mergeCell ref="I5:I6"/>
    <mergeCell ref="J5:J6"/>
    <mergeCell ref="B3:B6"/>
    <mergeCell ref="C3:C6"/>
    <mergeCell ref="D3:M3"/>
    <mergeCell ref="N3:N6"/>
    <mergeCell ref="O3:R3"/>
    <mergeCell ref="D4:D6"/>
    <mergeCell ref="E4:G4"/>
    <mergeCell ref="H4:I4"/>
    <mergeCell ref="J4:K4"/>
    <mergeCell ref="L4:M4"/>
  </mergeCells>
  <printOptions/>
  <pageMargins left="0.5905511811023623" right="0.1968503937007874" top="0.7874015748031497" bottom="0.3937007874015748" header="0.3937007874015748" footer="0.3937007874015748"/>
  <pageSetup horizontalDpi="600" verticalDpi="600" orientation="portrait" paperSize="9" scale="98" r:id="rId1"/>
  <headerFooter alignWithMargins="0">
    <oddHeader>&amp;R15.交通・通信</oddHeader>
    <oddFooter>&amp;C-106-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3"/>
  <sheetViews>
    <sheetView showGridLines="0" workbookViewId="0" topLeftCell="A1">
      <selection activeCell="A81" sqref="A81:IV82"/>
    </sheetView>
  </sheetViews>
  <sheetFormatPr defaultColWidth="9.00390625" defaultRowHeight="13.5"/>
  <cols>
    <col min="1" max="1" width="3.625" style="2" customWidth="1"/>
    <col min="2" max="2" width="2.125" style="2" customWidth="1"/>
    <col min="3" max="3" width="5.375" style="133" customWidth="1"/>
    <col min="4" max="4" width="6.875" style="2" customWidth="1"/>
    <col min="5" max="5" width="2.50390625" style="139" customWidth="1"/>
    <col min="6" max="6" width="6.875" style="2" customWidth="1"/>
    <col min="7" max="16" width="6.375" style="2" customWidth="1"/>
    <col min="17" max="16384" width="9.00390625" style="2" customWidth="1"/>
  </cols>
  <sheetData>
    <row r="1" spans="1:2" ht="30" customHeight="1">
      <c r="A1" s="250" t="s">
        <v>302</v>
      </c>
      <c r="B1" s="250"/>
    </row>
    <row r="2" spans="2:16" ht="18" customHeight="1">
      <c r="B2" s="342" t="s">
        <v>303</v>
      </c>
      <c r="D2" s="252"/>
      <c r="E2" s="343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 t="s">
        <v>304</v>
      </c>
    </row>
    <row r="3" spans="2:16" ht="13.5" customHeight="1">
      <c r="B3" s="254" t="s">
        <v>1</v>
      </c>
      <c r="C3" s="254"/>
      <c r="D3" s="254" t="s">
        <v>305</v>
      </c>
      <c r="E3" s="344" t="s">
        <v>306</v>
      </c>
      <c r="F3" s="345" t="s">
        <v>307</v>
      </c>
      <c r="G3" s="255" t="s">
        <v>308</v>
      </c>
      <c r="H3" s="255"/>
      <c r="I3" s="255"/>
      <c r="J3" s="255"/>
      <c r="K3" s="255"/>
      <c r="L3" s="255"/>
      <c r="M3" s="255"/>
      <c r="N3" s="255"/>
      <c r="O3" s="255"/>
      <c r="P3" s="48"/>
    </row>
    <row r="4" spans="2:16" ht="13.5" customHeight="1">
      <c r="B4" s="254"/>
      <c r="C4" s="254"/>
      <c r="D4" s="254"/>
      <c r="E4" s="164"/>
      <c r="F4" s="345"/>
      <c r="G4" s="346" t="s">
        <v>309</v>
      </c>
      <c r="H4" s="347" t="s">
        <v>310</v>
      </c>
      <c r="I4" s="347" t="s">
        <v>311</v>
      </c>
      <c r="J4" s="347" t="s">
        <v>312</v>
      </c>
      <c r="K4" s="347" t="s">
        <v>313</v>
      </c>
      <c r="L4" s="347" t="s">
        <v>314</v>
      </c>
      <c r="M4" s="348" t="s">
        <v>315</v>
      </c>
      <c r="N4" s="348" t="s">
        <v>316</v>
      </c>
      <c r="O4" s="347" t="s">
        <v>317</v>
      </c>
      <c r="P4" s="349" t="s">
        <v>318</v>
      </c>
    </row>
    <row r="5" spans="2:16" ht="11.25">
      <c r="B5" s="350" t="s">
        <v>14</v>
      </c>
      <c r="C5" s="351"/>
      <c r="D5" s="352">
        <f>+F5+F6</f>
        <v>56556</v>
      </c>
      <c r="E5" s="353" t="s">
        <v>319</v>
      </c>
      <c r="F5" s="354">
        <f aca="true" t="shared" si="0" ref="F5:F68">SUM(G5:P5)</f>
        <v>31872</v>
      </c>
      <c r="G5" s="355">
        <f aca="true" t="shared" si="1" ref="G5:P6">+G7+G9+G11+G13</f>
        <v>735</v>
      </c>
      <c r="H5" s="355">
        <f t="shared" si="1"/>
        <v>2613</v>
      </c>
      <c r="I5" s="355">
        <f t="shared" si="1"/>
        <v>3187</v>
      </c>
      <c r="J5" s="355">
        <f t="shared" si="1"/>
        <v>5764</v>
      </c>
      <c r="K5" s="355">
        <f t="shared" si="1"/>
        <v>6168</v>
      </c>
      <c r="L5" s="355">
        <f t="shared" si="1"/>
        <v>6278</v>
      </c>
      <c r="M5" s="356">
        <f t="shared" si="1"/>
        <v>2146</v>
      </c>
      <c r="N5" s="356">
        <f t="shared" si="1"/>
        <v>2049</v>
      </c>
      <c r="O5" s="355">
        <f t="shared" si="1"/>
        <v>1708</v>
      </c>
      <c r="P5" s="357">
        <f t="shared" si="1"/>
        <v>1224</v>
      </c>
    </row>
    <row r="6" spans="2:16" ht="11.25">
      <c r="B6" s="358"/>
      <c r="C6" s="359"/>
      <c r="D6" s="352"/>
      <c r="E6" s="360" t="s">
        <v>320</v>
      </c>
      <c r="F6" s="361">
        <f t="shared" si="0"/>
        <v>24684</v>
      </c>
      <c r="G6" s="362">
        <f t="shared" si="1"/>
        <v>540</v>
      </c>
      <c r="H6" s="363">
        <f t="shared" si="1"/>
        <v>2709</v>
      </c>
      <c r="I6" s="363">
        <f t="shared" si="1"/>
        <v>3207</v>
      </c>
      <c r="J6" s="363">
        <f t="shared" si="1"/>
        <v>5942</v>
      </c>
      <c r="K6" s="363">
        <f t="shared" si="1"/>
        <v>5680</v>
      </c>
      <c r="L6" s="363">
        <f t="shared" si="1"/>
        <v>4637</v>
      </c>
      <c r="M6" s="364">
        <f t="shared" si="1"/>
        <v>992</v>
      </c>
      <c r="N6" s="364">
        <f>+N8+N10+N12+N14</f>
        <v>626</v>
      </c>
      <c r="O6" s="363">
        <f t="shared" si="1"/>
        <v>279</v>
      </c>
      <c r="P6" s="365">
        <f t="shared" si="1"/>
        <v>72</v>
      </c>
    </row>
    <row r="7" spans="2:16" ht="11.25" hidden="1">
      <c r="B7" s="366"/>
      <c r="C7" s="164" t="s">
        <v>8</v>
      </c>
      <c r="D7" s="352">
        <f>+F7+F8</f>
        <v>14832</v>
      </c>
      <c r="E7" s="367" t="s">
        <v>319</v>
      </c>
      <c r="F7" s="368">
        <f t="shared" si="0"/>
        <v>8301</v>
      </c>
      <c r="G7" s="369">
        <v>221</v>
      </c>
      <c r="H7" s="370">
        <v>671</v>
      </c>
      <c r="I7" s="370">
        <v>754</v>
      </c>
      <c r="J7" s="370">
        <v>1454</v>
      </c>
      <c r="K7" s="370">
        <v>1606</v>
      </c>
      <c r="L7" s="370">
        <v>1640</v>
      </c>
      <c r="M7" s="371">
        <v>538</v>
      </c>
      <c r="N7" s="371">
        <v>573</v>
      </c>
      <c r="O7" s="370">
        <v>479</v>
      </c>
      <c r="P7" s="372">
        <v>365</v>
      </c>
    </row>
    <row r="8" spans="2:16" ht="11.25" hidden="1">
      <c r="B8" s="366"/>
      <c r="C8" s="164"/>
      <c r="D8" s="352"/>
      <c r="E8" s="373" t="s">
        <v>320</v>
      </c>
      <c r="F8" s="374">
        <f t="shared" si="0"/>
        <v>6531</v>
      </c>
      <c r="G8" s="375">
        <v>141</v>
      </c>
      <c r="H8" s="376">
        <v>694</v>
      </c>
      <c r="I8" s="376">
        <v>753</v>
      </c>
      <c r="J8" s="376">
        <v>1497</v>
      </c>
      <c r="K8" s="376">
        <v>1461</v>
      </c>
      <c r="L8" s="376">
        <v>1255</v>
      </c>
      <c r="M8" s="377">
        <v>338</v>
      </c>
      <c r="N8" s="377">
        <v>241</v>
      </c>
      <c r="O8" s="376">
        <v>121</v>
      </c>
      <c r="P8" s="378">
        <v>30</v>
      </c>
    </row>
    <row r="9" spans="2:16" ht="11.25" hidden="1">
      <c r="B9" s="366"/>
      <c r="C9" s="164" t="s">
        <v>9</v>
      </c>
      <c r="D9" s="352">
        <f>+F9+F10</f>
        <v>19282</v>
      </c>
      <c r="E9" s="367" t="s">
        <v>319</v>
      </c>
      <c r="F9" s="368">
        <f t="shared" si="0"/>
        <v>10925</v>
      </c>
      <c r="G9" s="369">
        <v>248</v>
      </c>
      <c r="H9" s="370">
        <v>901</v>
      </c>
      <c r="I9" s="370">
        <v>1079</v>
      </c>
      <c r="J9" s="370">
        <v>2030</v>
      </c>
      <c r="K9" s="370">
        <v>2148</v>
      </c>
      <c r="L9" s="370">
        <v>2154</v>
      </c>
      <c r="M9" s="371">
        <v>734</v>
      </c>
      <c r="N9" s="371">
        <v>687</v>
      </c>
      <c r="O9" s="370">
        <v>543</v>
      </c>
      <c r="P9" s="372">
        <v>401</v>
      </c>
    </row>
    <row r="10" spans="2:16" ht="11.25" hidden="1">
      <c r="B10" s="366"/>
      <c r="C10" s="164"/>
      <c r="D10" s="352"/>
      <c r="E10" s="373" t="s">
        <v>320</v>
      </c>
      <c r="F10" s="374">
        <f t="shared" si="0"/>
        <v>8357</v>
      </c>
      <c r="G10" s="375">
        <v>185</v>
      </c>
      <c r="H10" s="376">
        <v>911</v>
      </c>
      <c r="I10" s="376">
        <v>1083</v>
      </c>
      <c r="J10" s="376">
        <v>2141</v>
      </c>
      <c r="K10" s="376">
        <v>1966</v>
      </c>
      <c r="L10" s="376">
        <v>1523</v>
      </c>
      <c r="M10" s="377">
        <v>298</v>
      </c>
      <c r="N10" s="377">
        <v>167</v>
      </c>
      <c r="O10" s="376">
        <v>66</v>
      </c>
      <c r="P10" s="378">
        <v>17</v>
      </c>
    </row>
    <row r="11" spans="2:16" ht="11.25" hidden="1">
      <c r="B11" s="366"/>
      <c r="C11" s="164" t="s">
        <v>11</v>
      </c>
      <c r="D11" s="352">
        <f>+F11+F12</f>
        <v>14345</v>
      </c>
      <c r="E11" s="367" t="s">
        <v>319</v>
      </c>
      <c r="F11" s="368">
        <f t="shared" si="0"/>
        <v>8146</v>
      </c>
      <c r="G11" s="369">
        <v>179</v>
      </c>
      <c r="H11" s="370">
        <v>675</v>
      </c>
      <c r="I11" s="370">
        <v>914</v>
      </c>
      <c r="J11" s="370">
        <v>1519</v>
      </c>
      <c r="K11" s="370">
        <v>1522</v>
      </c>
      <c r="L11" s="370">
        <v>1628</v>
      </c>
      <c r="M11" s="371">
        <v>583</v>
      </c>
      <c r="N11" s="371">
        <v>503</v>
      </c>
      <c r="O11" s="370">
        <v>384</v>
      </c>
      <c r="P11" s="372">
        <v>239</v>
      </c>
    </row>
    <row r="12" spans="2:16" ht="11.25" hidden="1">
      <c r="B12" s="366"/>
      <c r="C12" s="164"/>
      <c r="D12" s="352"/>
      <c r="E12" s="373" t="s">
        <v>320</v>
      </c>
      <c r="F12" s="374">
        <f t="shared" si="0"/>
        <v>6199</v>
      </c>
      <c r="G12" s="375">
        <v>132</v>
      </c>
      <c r="H12" s="376">
        <v>698</v>
      </c>
      <c r="I12" s="376">
        <v>892</v>
      </c>
      <c r="J12" s="376">
        <v>1557</v>
      </c>
      <c r="K12" s="376">
        <v>1360</v>
      </c>
      <c r="L12" s="376">
        <v>1183</v>
      </c>
      <c r="M12" s="377">
        <v>204</v>
      </c>
      <c r="N12" s="377">
        <v>111</v>
      </c>
      <c r="O12" s="376">
        <v>46</v>
      </c>
      <c r="P12" s="378">
        <v>16</v>
      </c>
    </row>
    <row r="13" spans="2:16" ht="11.25" hidden="1">
      <c r="B13" s="366"/>
      <c r="C13" s="164" t="s">
        <v>300</v>
      </c>
      <c r="D13" s="352">
        <f>+F13+F14</f>
        <v>8097</v>
      </c>
      <c r="E13" s="367" t="s">
        <v>319</v>
      </c>
      <c r="F13" s="368">
        <f t="shared" si="0"/>
        <v>4500</v>
      </c>
      <c r="G13" s="369">
        <v>87</v>
      </c>
      <c r="H13" s="370">
        <v>366</v>
      </c>
      <c r="I13" s="370">
        <v>440</v>
      </c>
      <c r="J13" s="370">
        <v>761</v>
      </c>
      <c r="K13" s="370">
        <v>892</v>
      </c>
      <c r="L13" s="370">
        <v>856</v>
      </c>
      <c r="M13" s="371">
        <v>291</v>
      </c>
      <c r="N13" s="371">
        <v>286</v>
      </c>
      <c r="O13" s="370">
        <v>302</v>
      </c>
      <c r="P13" s="372">
        <v>219</v>
      </c>
    </row>
    <row r="14" spans="2:16" ht="11.25" hidden="1">
      <c r="B14" s="379"/>
      <c r="C14" s="164"/>
      <c r="D14" s="352"/>
      <c r="E14" s="373" t="s">
        <v>320</v>
      </c>
      <c r="F14" s="306">
        <f t="shared" si="0"/>
        <v>3597</v>
      </c>
      <c r="G14" s="301">
        <v>82</v>
      </c>
      <c r="H14" s="302">
        <v>406</v>
      </c>
      <c r="I14" s="302">
        <v>479</v>
      </c>
      <c r="J14" s="302">
        <v>747</v>
      </c>
      <c r="K14" s="302">
        <v>893</v>
      </c>
      <c r="L14" s="302">
        <v>676</v>
      </c>
      <c r="M14" s="307">
        <v>152</v>
      </c>
      <c r="N14" s="307">
        <v>107</v>
      </c>
      <c r="O14" s="302">
        <v>46</v>
      </c>
      <c r="P14" s="380">
        <v>9</v>
      </c>
    </row>
    <row r="15" spans="2:16" ht="11.25">
      <c r="B15" s="350" t="s">
        <v>15</v>
      </c>
      <c r="C15" s="351"/>
      <c r="D15" s="352">
        <f>+F15+F16</f>
        <v>57653</v>
      </c>
      <c r="E15" s="353" t="s">
        <v>319</v>
      </c>
      <c r="F15" s="354">
        <f t="shared" si="0"/>
        <v>32297</v>
      </c>
      <c r="G15" s="355">
        <f aca="true" t="shared" si="2" ref="G15:P16">+G17+G19+G21+G23</f>
        <v>806</v>
      </c>
      <c r="H15" s="355">
        <f t="shared" si="2"/>
        <v>2555</v>
      </c>
      <c r="I15" s="355">
        <f t="shared" si="2"/>
        <v>3126</v>
      </c>
      <c r="J15" s="355">
        <f t="shared" si="2"/>
        <v>5947</v>
      </c>
      <c r="K15" s="355">
        <f t="shared" si="2"/>
        <v>6020</v>
      </c>
      <c r="L15" s="355">
        <f t="shared" si="2"/>
        <v>6427</v>
      </c>
      <c r="M15" s="356">
        <f t="shared" si="2"/>
        <v>2246</v>
      </c>
      <c r="N15" s="356">
        <f t="shared" si="2"/>
        <v>2026</v>
      </c>
      <c r="O15" s="355">
        <f t="shared" si="2"/>
        <v>1734</v>
      </c>
      <c r="P15" s="357">
        <f t="shared" si="2"/>
        <v>1410</v>
      </c>
    </row>
    <row r="16" spans="2:16" ht="11.25">
      <c r="B16" s="358"/>
      <c r="C16" s="359"/>
      <c r="D16" s="352"/>
      <c r="E16" s="360" t="s">
        <v>320</v>
      </c>
      <c r="F16" s="361">
        <f t="shared" si="0"/>
        <v>25356</v>
      </c>
      <c r="G16" s="362">
        <f t="shared" si="2"/>
        <v>632</v>
      </c>
      <c r="H16" s="363">
        <f t="shared" si="2"/>
        <v>2584</v>
      </c>
      <c r="I16" s="363">
        <f t="shared" si="2"/>
        <v>3218</v>
      </c>
      <c r="J16" s="363">
        <f t="shared" si="2"/>
        <v>6021</v>
      </c>
      <c r="K16" s="363">
        <f t="shared" si="2"/>
        <v>5690</v>
      </c>
      <c r="L16" s="363">
        <f t="shared" si="2"/>
        <v>4958</v>
      </c>
      <c r="M16" s="364">
        <f t="shared" si="2"/>
        <v>1111</v>
      </c>
      <c r="N16" s="364">
        <f>+N18+N20+N22+N24</f>
        <v>725</v>
      </c>
      <c r="O16" s="363">
        <f t="shared" si="2"/>
        <v>323</v>
      </c>
      <c r="P16" s="365">
        <f t="shared" si="2"/>
        <v>94</v>
      </c>
    </row>
    <row r="17" spans="2:16" ht="11.25" hidden="1">
      <c r="B17" s="366"/>
      <c r="C17" s="164" t="s">
        <v>8</v>
      </c>
      <c r="D17" s="352">
        <f>+F17+F18</f>
        <v>15031</v>
      </c>
      <c r="E17" s="367" t="s">
        <v>319</v>
      </c>
      <c r="F17" s="368">
        <f t="shared" si="0"/>
        <v>8353</v>
      </c>
      <c r="G17" s="369">
        <v>228</v>
      </c>
      <c r="H17" s="370">
        <v>663</v>
      </c>
      <c r="I17" s="370">
        <v>738</v>
      </c>
      <c r="J17" s="370">
        <v>1483</v>
      </c>
      <c r="K17" s="370">
        <v>1557</v>
      </c>
      <c r="L17" s="370">
        <v>1673</v>
      </c>
      <c r="M17" s="371">
        <v>562</v>
      </c>
      <c r="N17" s="371">
        <v>533</v>
      </c>
      <c r="O17" s="370">
        <v>495</v>
      </c>
      <c r="P17" s="372">
        <v>421</v>
      </c>
    </row>
    <row r="18" spans="2:16" ht="11.25" hidden="1">
      <c r="B18" s="366"/>
      <c r="C18" s="164"/>
      <c r="D18" s="352"/>
      <c r="E18" s="373" t="s">
        <v>320</v>
      </c>
      <c r="F18" s="374">
        <f t="shared" si="0"/>
        <v>6678</v>
      </c>
      <c r="G18" s="375">
        <v>184</v>
      </c>
      <c r="H18" s="376">
        <v>648</v>
      </c>
      <c r="I18" s="376">
        <v>772</v>
      </c>
      <c r="J18" s="376">
        <v>1482</v>
      </c>
      <c r="K18" s="376">
        <v>1452</v>
      </c>
      <c r="L18" s="376">
        <v>1344</v>
      </c>
      <c r="M18" s="377">
        <v>350</v>
      </c>
      <c r="N18" s="377">
        <v>262</v>
      </c>
      <c r="O18" s="376">
        <v>144</v>
      </c>
      <c r="P18" s="378">
        <v>40</v>
      </c>
    </row>
    <row r="19" spans="2:16" ht="11.25" hidden="1">
      <c r="B19" s="366"/>
      <c r="C19" s="164" t="s">
        <v>9</v>
      </c>
      <c r="D19" s="352">
        <f>+F19+F20</f>
        <v>19691</v>
      </c>
      <c r="E19" s="367" t="s">
        <v>319</v>
      </c>
      <c r="F19" s="368">
        <f t="shared" si="0"/>
        <v>11086</v>
      </c>
      <c r="G19" s="369">
        <v>271</v>
      </c>
      <c r="H19" s="370">
        <v>878</v>
      </c>
      <c r="I19" s="370">
        <v>1072</v>
      </c>
      <c r="J19" s="370">
        <v>2073</v>
      </c>
      <c r="K19" s="370">
        <v>2136</v>
      </c>
      <c r="L19" s="370">
        <v>2192</v>
      </c>
      <c r="M19" s="371">
        <v>765</v>
      </c>
      <c r="N19" s="371">
        <v>705</v>
      </c>
      <c r="O19" s="370">
        <v>550</v>
      </c>
      <c r="P19" s="372">
        <v>444</v>
      </c>
    </row>
    <row r="20" spans="2:16" ht="11.25" hidden="1">
      <c r="B20" s="366"/>
      <c r="C20" s="164"/>
      <c r="D20" s="352"/>
      <c r="E20" s="373" t="s">
        <v>320</v>
      </c>
      <c r="F20" s="374">
        <f t="shared" si="0"/>
        <v>8605</v>
      </c>
      <c r="G20" s="375">
        <v>219</v>
      </c>
      <c r="H20" s="376">
        <v>852</v>
      </c>
      <c r="I20" s="376">
        <v>1113</v>
      </c>
      <c r="J20" s="376">
        <v>2154</v>
      </c>
      <c r="K20" s="376">
        <v>1989</v>
      </c>
      <c r="L20" s="376">
        <v>1630</v>
      </c>
      <c r="M20" s="377">
        <v>345</v>
      </c>
      <c r="N20" s="377">
        <v>204</v>
      </c>
      <c r="O20" s="376">
        <v>78</v>
      </c>
      <c r="P20" s="378">
        <v>21</v>
      </c>
    </row>
    <row r="21" spans="2:16" ht="11.25" hidden="1">
      <c r="B21" s="366"/>
      <c r="C21" s="164" t="s">
        <v>11</v>
      </c>
      <c r="D21" s="352">
        <f>+F21+F22</f>
        <v>14652</v>
      </c>
      <c r="E21" s="367" t="s">
        <v>319</v>
      </c>
      <c r="F21" s="368">
        <f t="shared" si="0"/>
        <v>8286</v>
      </c>
      <c r="G21" s="369">
        <v>189</v>
      </c>
      <c r="H21" s="370">
        <v>674</v>
      </c>
      <c r="I21" s="370">
        <v>873</v>
      </c>
      <c r="J21" s="370">
        <v>1602</v>
      </c>
      <c r="K21" s="370">
        <v>1477</v>
      </c>
      <c r="L21" s="370">
        <v>1669</v>
      </c>
      <c r="M21" s="371">
        <v>611</v>
      </c>
      <c r="N21" s="371">
        <v>511</v>
      </c>
      <c r="O21" s="370">
        <v>388</v>
      </c>
      <c r="P21" s="372">
        <v>292</v>
      </c>
    </row>
    <row r="22" spans="2:16" ht="11.25" hidden="1">
      <c r="B22" s="366"/>
      <c r="C22" s="164"/>
      <c r="D22" s="352"/>
      <c r="E22" s="373" t="s">
        <v>320</v>
      </c>
      <c r="F22" s="374">
        <f t="shared" si="0"/>
        <v>6366</v>
      </c>
      <c r="G22" s="375">
        <v>140</v>
      </c>
      <c r="H22" s="376">
        <v>677</v>
      </c>
      <c r="I22" s="376">
        <v>868</v>
      </c>
      <c r="J22" s="376">
        <v>1598</v>
      </c>
      <c r="K22" s="376">
        <v>1361</v>
      </c>
      <c r="L22" s="376">
        <v>1268</v>
      </c>
      <c r="M22" s="377">
        <v>247</v>
      </c>
      <c r="N22" s="377">
        <v>136</v>
      </c>
      <c r="O22" s="376">
        <v>51</v>
      </c>
      <c r="P22" s="378">
        <v>20</v>
      </c>
    </row>
    <row r="23" spans="2:16" ht="11.25" hidden="1">
      <c r="B23" s="366"/>
      <c r="C23" s="164" t="s">
        <v>300</v>
      </c>
      <c r="D23" s="352">
        <f>+F23+F24</f>
        <v>8279</v>
      </c>
      <c r="E23" s="367" t="s">
        <v>319</v>
      </c>
      <c r="F23" s="368">
        <f t="shared" si="0"/>
        <v>4572</v>
      </c>
      <c r="G23" s="369">
        <v>118</v>
      </c>
      <c r="H23" s="370">
        <v>340</v>
      </c>
      <c r="I23" s="370">
        <v>443</v>
      </c>
      <c r="J23" s="370">
        <v>789</v>
      </c>
      <c r="K23" s="370">
        <v>850</v>
      </c>
      <c r="L23" s="370">
        <v>893</v>
      </c>
      <c r="M23" s="371">
        <v>308</v>
      </c>
      <c r="N23" s="371">
        <v>277</v>
      </c>
      <c r="O23" s="370">
        <v>301</v>
      </c>
      <c r="P23" s="372">
        <v>253</v>
      </c>
    </row>
    <row r="24" spans="2:16" ht="11.25" hidden="1">
      <c r="B24" s="379"/>
      <c r="C24" s="164"/>
      <c r="D24" s="352"/>
      <c r="E24" s="373" t="s">
        <v>320</v>
      </c>
      <c r="F24" s="306">
        <f t="shared" si="0"/>
        <v>3707</v>
      </c>
      <c r="G24" s="301">
        <v>89</v>
      </c>
      <c r="H24" s="302">
        <v>407</v>
      </c>
      <c r="I24" s="302">
        <v>465</v>
      </c>
      <c r="J24" s="302">
        <v>787</v>
      </c>
      <c r="K24" s="302">
        <v>888</v>
      </c>
      <c r="L24" s="302">
        <v>716</v>
      </c>
      <c r="M24" s="307">
        <v>169</v>
      </c>
      <c r="N24" s="307">
        <v>123</v>
      </c>
      <c r="O24" s="302">
        <v>50</v>
      </c>
      <c r="P24" s="380">
        <v>13</v>
      </c>
    </row>
    <row r="25" spans="2:16" ht="11.25">
      <c r="B25" s="350" t="s">
        <v>16</v>
      </c>
      <c r="C25" s="351"/>
      <c r="D25" s="352">
        <f>+F25+F26</f>
        <v>58470</v>
      </c>
      <c r="E25" s="353" t="s">
        <v>319</v>
      </c>
      <c r="F25" s="354">
        <f t="shared" si="0"/>
        <v>32554</v>
      </c>
      <c r="G25" s="355">
        <f aca="true" t="shared" si="3" ref="G25:P26">+G27+G29+G31+G33</f>
        <v>757</v>
      </c>
      <c r="H25" s="355">
        <f t="shared" si="3"/>
        <v>2515</v>
      </c>
      <c r="I25" s="355">
        <f t="shared" si="3"/>
        <v>3047</v>
      </c>
      <c r="J25" s="355">
        <f t="shared" si="3"/>
        <v>6032</v>
      </c>
      <c r="K25" s="355">
        <f t="shared" si="3"/>
        <v>5956</v>
      </c>
      <c r="L25" s="355">
        <f t="shared" si="3"/>
        <v>6496</v>
      </c>
      <c r="M25" s="356">
        <f t="shared" si="3"/>
        <v>2345</v>
      </c>
      <c r="N25" s="356">
        <f t="shared" si="3"/>
        <v>2064</v>
      </c>
      <c r="O25" s="355">
        <f t="shared" si="3"/>
        <v>1796</v>
      </c>
      <c r="P25" s="357">
        <f t="shared" si="3"/>
        <v>1546</v>
      </c>
    </row>
    <row r="26" spans="2:16" ht="11.25">
      <c r="B26" s="358"/>
      <c r="C26" s="359"/>
      <c r="D26" s="352"/>
      <c r="E26" s="360" t="s">
        <v>320</v>
      </c>
      <c r="F26" s="361">
        <f t="shared" si="0"/>
        <v>25916</v>
      </c>
      <c r="G26" s="362">
        <f t="shared" si="3"/>
        <v>609</v>
      </c>
      <c r="H26" s="363">
        <f t="shared" si="3"/>
        <v>2573</v>
      </c>
      <c r="I26" s="363">
        <f t="shared" si="3"/>
        <v>3044</v>
      </c>
      <c r="J26" s="363">
        <f t="shared" si="3"/>
        <v>6228</v>
      </c>
      <c r="K26" s="363">
        <f t="shared" si="3"/>
        <v>5637</v>
      </c>
      <c r="L26" s="363">
        <f t="shared" si="3"/>
        <v>5246</v>
      </c>
      <c r="M26" s="364">
        <f t="shared" si="3"/>
        <v>1268</v>
      </c>
      <c r="N26" s="364">
        <f>+N28+N30+N32+N34</f>
        <v>795</v>
      </c>
      <c r="O26" s="363">
        <f t="shared" si="3"/>
        <v>387</v>
      </c>
      <c r="P26" s="365">
        <f t="shared" si="3"/>
        <v>129</v>
      </c>
    </row>
    <row r="27" spans="2:16" ht="11.25">
      <c r="B27" s="366"/>
      <c r="C27" s="164" t="s">
        <v>8</v>
      </c>
      <c r="D27" s="352">
        <f>+F27+F28</f>
        <v>15135</v>
      </c>
      <c r="E27" s="367" t="s">
        <v>319</v>
      </c>
      <c r="F27" s="368">
        <f t="shared" si="0"/>
        <v>8381</v>
      </c>
      <c r="G27" s="369">
        <v>191</v>
      </c>
      <c r="H27" s="370">
        <v>667</v>
      </c>
      <c r="I27" s="370">
        <v>751</v>
      </c>
      <c r="J27" s="370">
        <v>1460</v>
      </c>
      <c r="K27" s="370">
        <v>1538</v>
      </c>
      <c r="L27" s="370">
        <v>1694</v>
      </c>
      <c r="M27" s="371">
        <v>574</v>
      </c>
      <c r="N27" s="371">
        <v>557</v>
      </c>
      <c r="O27" s="370">
        <v>503</v>
      </c>
      <c r="P27" s="372">
        <v>446</v>
      </c>
    </row>
    <row r="28" spans="2:16" ht="11.25">
      <c r="B28" s="366"/>
      <c r="C28" s="164"/>
      <c r="D28" s="352"/>
      <c r="E28" s="373" t="s">
        <v>320</v>
      </c>
      <c r="F28" s="374">
        <f t="shared" si="0"/>
        <v>6754</v>
      </c>
      <c r="G28" s="375">
        <v>160</v>
      </c>
      <c r="H28" s="376">
        <v>645</v>
      </c>
      <c r="I28" s="376">
        <v>730</v>
      </c>
      <c r="J28" s="376">
        <v>1481</v>
      </c>
      <c r="K28" s="376">
        <v>1447</v>
      </c>
      <c r="L28" s="376">
        <v>1421</v>
      </c>
      <c r="M28" s="377">
        <v>366</v>
      </c>
      <c r="N28" s="377">
        <v>288</v>
      </c>
      <c r="O28" s="376">
        <v>167</v>
      </c>
      <c r="P28" s="378">
        <v>49</v>
      </c>
    </row>
    <row r="29" spans="2:16" ht="11.25">
      <c r="B29" s="366"/>
      <c r="C29" s="164" t="s">
        <v>9</v>
      </c>
      <c r="D29" s="352">
        <f>+F29+F30</f>
        <v>19986</v>
      </c>
      <c r="E29" s="367" t="s">
        <v>319</v>
      </c>
      <c r="F29" s="368">
        <f t="shared" si="0"/>
        <v>11179</v>
      </c>
      <c r="G29" s="369">
        <v>269</v>
      </c>
      <c r="H29" s="370">
        <v>879</v>
      </c>
      <c r="I29" s="370">
        <v>991</v>
      </c>
      <c r="J29" s="370">
        <v>2135</v>
      </c>
      <c r="K29" s="370">
        <v>2114</v>
      </c>
      <c r="L29" s="370">
        <v>2213</v>
      </c>
      <c r="M29" s="371">
        <v>809</v>
      </c>
      <c r="N29" s="371">
        <v>696</v>
      </c>
      <c r="O29" s="370">
        <v>587</v>
      </c>
      <c r="P29" s="372">
        <v>486</v>
      </c>
    </row>
    <row r="30" spans="2:16" ht="11.25">
      <c r="B30" s="366"/>
      <c r="C30" s="164"/>
      <c r="D30" s="352"/>
      <c r="E30" s="373" t="s">
        <v>320</v>
      </c>
      <c r="F30" s="374">
        <f t="shared" si="0"/>
        <v>8807</v>
      </c>
      <c r="G30" s="375">
        <v>205</v>
      </c>
      <c r="H30" s="376">
        <v>871</v>
      </c>
      <c r="I30" s="376">
        <v>1018</v>
      </c>
      <c r="J30" s="376">
        <v>2233</v>
      </c>
      <c r="K30" s="376">
        <v>2000</v>
      </c>
      <c r="L30" s="376">
        <v>1724</v>
      </c>
      <c r="M30" s="377">
        <v>418</v>
      </c>
      <c r="N30" s="377">
        <v>213</v>
      </c>
      <c r="O30" s="376">
        <v>91</v>
      </c>
      <c r="P30" s="378">
        <v>34</v>
      </c>
    </row>
    <row r="31" spans="2:16" ht="11.25">
      <c r="B31" s="366"/>
      <c r="C31" s="164" t="s">
        <v>11</v>
      </c>
      <c r="D31" s="352">
        <f>+F31+F32</f>
        <v>14927</v>
      </c>
      <c r="E31" s="367" t="s">
        <v>319</v>
      </c>
      <c r="F31" s="368">
        <f t="shared" si="0"/>
        <v>8372</v>
      </c>
      <c r="G31" s="369">
        <v>190</v>
      </c>
      <c r="H31" s="370">
        <v>639</v>
      </c>
      <c r="I31" s="370">
        <v>874</v>
      </c>
      <c r="J31" s="370">
        <v>1625</v>
      </c>
      <c r="K31" s="370">
        <v>1480</v>
      </c>
      <c r="L31" s="370">
        <v>1655</v>
      </c>
      <c r="M31" s="371">
        <v>641</v>
      </c>
      <c r="N31" s="371">
        <v>540</v>
      </c>
      <c r="O31" s="370">
        <v>401</v>
      </c>
      <c r="P31" s="372">
        <v>327</v>
      </c>
    </row>
    <row r="32" spans="2:16" ht="11.25">
      <c r="B32" s="366"/>
      <c r="C32" s="164"/>
      <c r="D32" s="352"/>
      <c r="E32" s="373" t="s">
        <v>320</v>
      </c>
      <c r="F32" s="374">
        <f t="shared" si="0"/>
        <v>6555</v>
      </c>
      <c r="G32" s="375">
        <v>140</v>
      </c>
      <c r="H32" s="376">
        <v>667</v>
      </c>
      <c r="I32" s="376">
        <v>847</v>
      </c>
      <c r="J32" s="376">
        <v>1679</v>
      </c>
      <c r="K32" s="376">
        <v>1343</v>
      </c>
      <c r="L32" s="376">
        <v>1336</v>
      </c>
      <c r="M32" s="377">
        <v>293</v>
      </c>
      <c r="N32" s="377">
        <v>153</v>
      </c>
      <c r="O32" s="376">
        <v>70</v>
      </c>
      <c r="P32" s="378">
        <v>27</v>
      </c>
    </row>
    <row r="33" spans="2:16" ht="11.25">
      <c r="B33" s="366"/>
      <c r="C33" s="164" t="s">
        <v>300</v>
      </c>
      <c r="D33" s="352">
        <f>+F33+F34</f>
        <v>8422</v>
      </c>
      <c r="E33" s="367" t="s">
        <v>319</v>
      </c>
      <c r="F33" s="368">
        <f t="shared" si="0"/>
        <v>4622</v>
      </c>
      <c r="G33" s="369">
        <v>107</v>
      </c>
      <c r="H33" s="370">
        <v>330</v>
      </c>
      <c r="I33" s="370">
        <v>431</v>
      </c>
      <c r="J33" s="370">
        <v>812</v>
      </c>
      <c r="K33" s="370">
        <v>824</v>
      </c>
      <c r="L33" s="370">
        <v>934</v>
      </c>
      <c r="M33" s="371">
        <v>321</v>
      </c>
      <c r="N33" s="371">
        <v>271</v>
      </c>
      <c r="O33" s="370">
        <v>305</v>
      </c>
      <c r="P33" s="372">
        <v>287</v>
      </c>
    </row>
    <row r="34" spans="2:16" ht="11.25">
      <c r="B34" s="379"/>
      <c r="C34" s="164"/>
      <c r="D34" s="352"/>
      <c r="E34" s="373" t="s">
        <v>320</v>
      </c>
      <c r="F34" s="306">
        <f t="shared" si="0"/>
        <v>3800</v>
      </c>
      <c r="G34" s="301">
        <v>104</v>
      </c>
      <c r="H34" s="302">
        <v>390</v>
      </c>
      <c r="I34" s="302">
        <v>449</v>
      </c>
      <c r="J34" s="302">
        <v>835</v>
      </c>
      <c r="K34" s="302">
        <v>847</v>
      </c>
      <c r="L34" s="302">
        <v>765</v>
      </c>
      <c r="M34" s="307">
        <v>191</v>
      </c>
      <c r="N34" s="307">
        <v>141</v>
      </c>
      <c r="O34" s="302">
        <v>59</v>
      </c>
      <c r="P34" s="380">
        <v>19</v>
      </c>
    </row>
    <row r="35" spans="2:16" ht="11.25">
      <c r="B35" s="350" t="s">
        <v>12</v>
      </c>
      <c r="C35" s="351"/>
      <c r="D35" s="352">
        <f>+F35+F36</f>
        <v>59483</v>
      </c>
      <c r="E35" s="353" t="s">
        <v>319</v>
      </c>
      <c r="F35" s="354">
        <f t="shared" si="0"/>
        <v>32967</v>
      </c>
      <c r="G35" s="355">
        <f aca="true" t="shared" si="4" ref="G35:P36">+G37+G39+G41+G43</f>
        <v>750</v>
      </c>
      <c r="H35" s="355">
        <f t="shared" si="4"/>
        <v>2530</v>
      </c>
      <c r="I35" s="355">
        <f t="shared" si="4"/>
        <v>2904</v>
      </c>
      <c r="J35" s="355">
        <f t="shared" si="4"/>
        <v>6205</v>
      </c>
      <c r="K35" s="355">
        <f t="shared" si="4"/>
        <v>5911</v>
      </c>
      <c r="L35" s="355">
        <f t="shared" si="4"/>
        <v>6543</v>
      </c>
      <c r="M35" s="356">
        <f t="shared" si="4"/>
        <v>2538</v>
      </c>
      <c r="N35" s="356">
        <f>+N37+N39+N41+N43</f>
        <v>2048</v>
      </c>
      <c r="O35" s="355">
        <f t="shared" si="4"/>
        <v>1848</v>
      </c>
      <c r="P35" s="357">
        <f t="shared" si="4"/>
        <v>1690</v>
      </c>
    </row>
    <row r="36" spans="2:16" ht="11.25">
      <c r="B36" s="358"/>
      <c r="C36" s="359"/>
      <c r="D36" s="352"/>
      <c r="E36" s="360" t="s">
        <v>320</v>
      </c>
      <c r="F36" s="361">
        <f t="shared" si="0"/>
        <v>26516</v>
      </c>
      <c r="G36" s="362">
        <f t="shared" si="4"/>
        <v>617</v>
      </c>
      <c r="H36" s="363">
        <f t="shared" si="4"/>
        <v>2524</v>
      </c>
      <c r="I36" s="363">
        <f t="shared" si="4"/>
        <v>2949</v>
      </c>
      <c r="J36" s="363">
        <f t="shared" si="4"/>
        <v>6324</v>
      </c>
      <c r="K36" s="363">
        <f t="shared" si="4"/>
        <v>5734</v>
      </c>
      <c r="L36" s="363">
        <f t="shared" si="4"/>
        <v>5434</v>
      </c>
      <c r="M36" s="364">
        <f t="shared" si="4"/>
        <v>1485</v>
      </c>
      <c r="N36" s="364">
        <f>+N38+N40+N42+N44</f>
        <v>831</v>
      </c>
      <c r="O36" s="363">
        <f t="shared" si="4"/>
        <v>447</v>
      </c>
      <c r="P36" s="365">
        <f t="shared" si="4"/>
        <v>171</v>
      </c>
    </row>
    <row r="37" spans="2:16" ht="11.25">
      <c r="B37" s="366"/>
      <c r="C37" s="164" t="s">
        <v>8</v>
      </c>
      <c r="D37" s="352">
        <f>+F37+F38</f>
        <v>15290</v>
      </c>
      <c r="E37" s="367" t="s">
        <v>319</v>
      </c>
      <c r="F37" s="368">
        <f t="shared" si="0"/>
        <v>8433</v>
      </c>
      <c r="G37" s="369">
        <v>189</v>
      </c>
      <c r="H37" s="370">
        <v>675</v>
      </c>
      <c r="I37" s="370">
        <v>696</v>
      </c>
      <c r="J37" s="370">
        <v>1474</v>
      </c>
      <c r="K37" s="370">
        <v>1524</v>
      </c>
      <c r="L37" s="370">
        <v>1704</v>
      </c>
      <c r="M37" s="371">
        <v>635</v>
      </c>
      <c r="N37" s="371">
        <v>550</v>
      </c>
      <c r="O37" s="370">
        <v>508</v>
      </c>
      <c r="P37" s="372">
        <v>478</v>
      </c>
    </row>
    <row r="38" spans="2:16" ht="11.25">
      <c r="B38" s="366"/>
      <c r="C38" s="164"/>
      <c r="D38" s="352"/>
      <c r="E38" s="373" t="s">
        <v>320</v>
      </c>
      <c r="F38" s="374">
        <f t="shared" si="0"/>
        <v>6857</v>
      </c>
      <c r="G38" s="375">
        <v>179</v>
      </c>
      <c r="H38" s="376">
        <v>623</v>
      </c>
      <c r="I38" s="376">
        <v>688</v>
      </c>
      <c r="J38" s="376">
        <v>1488</v>
      </c>
      <c r="K38" s="376">
        <v>1466</v>
      </c>
      <c r="L38" s="376">
        <v>1435</v>
      </c>
      <c r="M38" s="377">
        <v>427</v>
      </c>
      <c r="N38" s="377">
        <v>295</v>
      </c>
      <c r="O38" s="376">
        <v>186</v>
      </c>
      <c r="P38" s="378">
        <v>70</v>
      </c>
    </row>
    <row r="39" spans="2:16" ht="11.25">
      <c r="B39" s="366"/>
      <c r="C39" s="164" t="s">
        <v>9</v>
      </c>
      <c r="D39" s="352">
        <f>+F39+F40</f>
        <v>20453</v>
      </c>
      <c r="E39" s="367" t="s">
        <v>319</v>
      </c>
      <c r="F39" s="368">
        <f t="shared" si="0"/>
        <v>11385</v>
      </c>
      <c r="G39" s="369">
        <v>272</v>
      </c>
      <c r="H39" s="370">
        <v>876</v>
      </c>
      <c r="I39" s="370">
        <v>991</v>
      </c>
      <c r="J39" s="370">
        <v>2220</v>
      </c>
      <c r="K39" s="370">
        <v>2068</v>
      </c>
      <c r="L39" s="370">
        <v>2234</v>
      </c>
      <c r="M39" s="371">
        <v>889</v>
      </c>
      <c r="N39" s="371">
        <v>677</v>
      </c>
      <c r="O39" s="370">
        <v>624</v>
      </c>
      <c r="P39" s="372">
        <v>534</v>
      </c>
    </row>
    <row r="40" spans="2:16" ht="11.25">
      <c r="B40" s="366"/>
      <c r="C40" s="164"/>
      <c r="D40" s="352"/>
      <c r="E40" s="373" t="s">
        <v>320</v>
      </c>
      <c r="F40" s="374">
        <f t="shared" si="0"/>
        <v>9068</v>
      </c>
      <c r="G40" s="375">
        <v>227</v>
      </c>
      <c r="H40" s="376">
        <v>857</v>
      </c>
      <c r="I40" s="376">
        <v>990</v>
      </c>
      <c r="J40" s="376">
        <v>2275</v>
      </c>
      <c r="K40" s="376">
        <v>2044</v>
      </c>
      <c r="L40" s="376">
        <v>1804</v>
      </c>
      <c r="M40" s="377">
        <v>487</v>
      </c>
      <c r="N40" s="377">
        <v>229</v>
      </c>
      <c r="O40" s="376">
        <v>115</v>
      </c>
      <c r="P40" s="378">
        <v>40</v>
      </c>
    </row>
    <row r="41" spans="2:16" ht="11.25">
      <c r="B41" s="366"/>
      <c r="C41" s="164" t="s">
        <v>11</v>
      </c>
      <c r="D41" s="352">
        <f>+F41+F42</f>
        <v>15196</v>
      </c>
      <c r="E41" s="367" t="s">
        <v>319</v>
      </c>
      <c r="F41" s="368">
        <f t="shared" si="0"/>
        <v>8498</v>
      </c>
      <c r="G41" s="369">
        <v>186</v>
      </c>
      <c r="H41" s="370">
        <v>639</v>
      </c>
      <c r="I41" s="370">
        <v>833</v>
      </c>
      <c r="J41" s="370">
        <v>1667</v>
      </c>
      <c r="K41" s="370">
        <v>1507</v>
      </c>
      <c r="L41" s="370">
        <v>1651</v>
      </c>
      <c r="M41" s="371">
        <v>684</v>
      </c>
      <c r="N41" s="371">
        <v>551</v>
      </c>
      <c r="O41" s="370">
        <v>418</v>
      </c>
      <c r="P41" s="372">
        <v>362</v>
      </c>
    </row>
    <row r="42" spans="2:16" ht="11.25">
      <c r="B42" s="366"/>
      <c r="C42" s="164"/>
      <c r="D42" s="352"/>
      <c r="E42" s="373" t="s">
        <v>320</v>
      </c>
      <c r="F42" s="374">
        <f t="shared" si="0"/>
        <v>6698</v>
      </c>
      <c r="G42" s="375">
        <v>120</v>
      </c>
      <c r="H42" s="376">
        <v>639</v>
      </c>
      <c r="I42" s="376">
        <v>837</v>
      </c>
      <c r="J42" s="376">
        <v>1699</v>
      </c>
      <c r="K42" s="376">
        <v>1381</v>
      </c>
      <c r="L42" s="376">
        <v>1394</v>
      </c>
      <c r="M42" s="377">
        <v>353</v>
      </c>
      <c r="N42" s="377">
        <v>164</v>
      </c>
      <c r="O42" s="376">
        <v>77</v>
      </c>
      <c r="P42" s="378">
        <v>34</v>
      </c>
    </row>
    <row r="43" spans="2:16" ht="11.25">
      <c r="B43" s="366"/>
      <c r="C43" s="164" t="s">
        <v>300</v>
      </c>
      <c r="D43" s="352">
        <f>+F43+F44</f>
        <v>8544</v>
      </c>
      <c r="E43" s="367" t="s">
        <v>319</v>
      </c>
      <c r="F43" s="368">
        <f t="shared" si="0"/>
        <v>4651</v>
      </c>
      <c r="G43" s="369">
        <v>103</v>
      </c>
      <c r="H43" s="370">
        <v>340</v>
      </c>
      <c r="I43" s="370">
        <v>384</v>
      </c>
      <c r="J43" s="370">
        <v>844</v>
      </c>
      <c r="K43" s="370">
        <v>812</v>
      </c>
      <c r="L43" s="370">
        <v>954</v>
      </c>
      <c r="M43" s="371">
        <v>330</v>
      </c>
      <c r="N43" s="371">
        <v>270</v>
      </c>
      <c r="O43" s="370">
        <v>298</v>
      </c>
      <c r="P43" s="372">
        <v>316</v>
      </c>
    </row>
    <row r="44" spans="2:16" ht="11.25">
      <c r="B44" s="379"/>
      <c r="C44" s="164"/>
      <c r="D44" s="352"/>
      <c r="E44" s="373" t="s">
        <v>320</v>
      </c>
      <c r="F44" s="306">
        <f t="shared" si="0"/>
        <v>3893</v>
      </c>
      <c r="G44" s="301">
        <v>91</v>
      </c>
      <c r="H44" s="302">
        <v>405</v>
      </c>
      <c r="I44" s="302">
        <v>434</v>
      </c>
      <c r="J44" s="302">
        <v>862</v>
      </c>
      <c r="K44" s="302">
        <v>843</v>
      </c>
      <c r="L44" s="302">
        <v>801</v>
      </c>
      <c r="M44" s="307">
        <v>218</v>
      </c>
      <c r="N44" s="307">
        <v>143</v>
      </c>
      <c r="O44" s="302">
        <v>69</v>
      </c>
      <c r="P44" s="380">
        <v>27</v>
      </c>
    </row>
    <row r="45" spans="2:16" ht="11.25">
      <c r="B45" s="350" t="s">
        <v>13</v>
      </c>
      <c r="C45" s="351"/>
      <c r="D45" s="352">
        <f>+F45+F46</f>
        <v>60351</v>
      </c>
      <c r="E45" s="353" t="s">
        <v>319</v>
      </c>
      <c r="F45" s="354">
        <f t="shared" si="0"/>
        <v>33332</v>
      </c>
      <c r="G45" s="355">
        <f aca="true" t="shared" si="5" ref="G45:P46">+G47+G49+G51+G53</f>
        <v>727</v>
      </c>
      <c r="H45" s="355">
        <f t="shared" si="5"/>
        <v>2586</v>
      </c>
      <c r="I45" s="355">
        <f t="shared" si="5"/>
        <v>2846</v>
      </c>
      <c r="J45" s="355">
        <f t="shared" si="5"/>
        <v>6255</v>
      </c>
      <c r="K45" s="355">
        <f t="shared" si="5"/>
        <v>5922</v>
      </c>
      <c r="L45" s="355">
        <f t="shared" si="5"/>
        <v>6570</v>
      </c>
      <c r="M45" s="356">
        <f t="shared" si="5"/>
        <v>2674</v>
      </c>
      <c r="N45" s="356">
        <f>+N47+N49+N51+N53</f>
        <v>2011</v>
      </c>
      <c r="O45" s="355">
        <f t="shared" si="5"/>
        <v>1872</v>
      </c>
      <c r="P45" s="357">
        <f t="shared" si="5"/>
        <v>1869</v>
      </c>
    </row>
    <row r="46" spans="2:16" ht="11.25">
      <c r="B46" s="358"/>
      <c r="C46" s="359"/>
      <c r="D46" s="352"/>
      <c r="E46" s="360" t="s">
        <v>320</v>
      </c>
      <c r="F46" s="361">
        <f t="shared" si="0"/>
        <v>27019</v>
      </c>
      <c r="G46" s="362">
        <f t="shared" si="5"/>
        <v>584</v>
      </c>
      <c r="H46" s="363">
        <f t="shared" si="5"/>
        <v>2506</v>
      </c>
      <c r="I46" s="363">
        <f t="shared" si="5"/>
        <v>2892</v>
      </c>
      <c r="J46" s="363">
        <f t="shared" si="5"/>
        <v>6325</v>
      </c>
      <c r="K46" s="363">
        <f t="shared" si="5"/>
        <v>5833</v>
      </c>
      <c r="L46" s="363">
        <f t="shared" si="5"/>
        <v>5593</v>
      </c>
      <c r="M46" s="364">
        <f t="shared" si="5"/>
        <v>1708</v>
      </c>
      <c r="N46" s="364">
        <f>+N48+N50+N52+N54</f>
        <v>885</v>
      </c>
      <c r="O46" s="363">
        <f t="shared" si="5"/>
        <v>479</v>
      </c>
      <c r="P46" s="365">
        <f t="shared" si="5"/>
        <v>214</v>
      </c>
    </row>
    <row r="47" spans="2:16" ht="11.25">
      <c r="B47" s="366"/>
      <c r="C47" s="164" t="s">
        <v>8</v>
      </c>
      <c r="D47" s="352">
        <f>+F47+F48</f>
        <v>15352</v>
      </c>
      <c r="E47" s="367" t="s">
        <v>319</v>
      </c>
      <c r="F47" s="368">
        <f t="shared" si="0"/>
        <v>8456</v>
      </c>
      <c r="G47" s="369">
        <v>203</v>
      </c>
      <c r="H47" s="370">
        <v>664</v>
      </c>
      <c r="I47" s="370">
        <v>702</v>
      </c>
      <c r="J47" s="370">
        <v>1445</v>
      </c>
      <c r="K47" s="370">
        <v>1514</v>
      </c>
      <c r="L47" s="370">
        <v>1694</v>
      </c>
      <c r="M47" s="371">
        <v>680</v>
      </c>
      <c r="N47" s="371">
        <v>529</v>
      </c>
      <c r="O47" s="370">
        <v>515</v>
      </c>
      <c r="P47" s="372">
        <v>510</v>
      </c>
    </row>
    <row r="48" spans="2:16" ht="11.25">
      <c r="B48" s="366"/>
      <c r="C48" s="164"/>
      <c r="D48" s="352"/>
      <c r="E48" s="373" t="s">
        <v>320</v>
      </c>
      <c r="F48" s="374">
        <f t="shared" si="0"/>
        <v>6896</v>
      </c>
      <c r="G48" s="375">
        <v>154</v>
      </c>
      <c r="H48" s="376">
        <v>612</v>
      </c>
      <c r="I48" s="376">
        <v>676</v>
      </c>
      <c r="J48" s="376">
        <v>1449</v>
      </c>
      <c r="K48" s="376">
        <v>1473</v>
      </c>
      <c r="L48" s="376">
        <v>1460</v>
      </c>
      <c r="M48" s="377">
        <v>487</v>
      </c>
      <c r="N48" s="377">
        <v>313</v>
      </c>
      <c r="O48" s="376">
        <v>185</v>
      </c>
      <c r="P48" s="378">
        <v>87</v>
      </c>
    </row>
    <row r="49" spans="2:16" ht="11.25">
      <c r="B49" s="366"/>
      <c r="C49" s="164" t="s">
        <v>9</v>
      </c>
      <c r="D49" s="352">
        <f>+F49+F50</f>
        <v>20843</v>
      </c>
      <c r="E49" s="367" t="s">
        <v>319</v>
      </c>
      <c r="F49" s="368">
        <f t="shared" si="0"/>
        <v>11573</v>
      </c>
      <c r="G49" s="369">
        <v>246</v>
      </c>
      <c r="H49" s="370">
        <v>926</v>
      </c>
      <c r="I49" s="370">
        <v>970</v>
      </c>
      <c r="J49" s="370">
        <v>2248</v>
      </c>
      <c r="K49" s="370">
        <v>2094</v>
      </c>
      <c r="L49" s="370">
        <v>2259</v>
      </c>
      <c r="M49" s="371">
        <v>926</v>
      </c>
      <c r="N49" s="371">
        <v>667</v>
      </c>
      <c r="O49" s="370">
        <v>637</v>
      </c>
      <c r="P49" s="372">
        <v>600</v>
      </c>
    </row>
    <row r="50" spans="2:16" ht="11.25">
      <c r="B50" s="366"/>
      <c r="C50" s="164"/>
      <c r="D50" s="352"/>
      <c r="E50" s="373" t="s">
        <v>320</v>
      </c>
      <c r="F50" s="374">
        <f t="shared" si="0"/>
        <v>9270</v>
      </c>
      <c r="G50" s="375">
        <v>216</v>
      </c>
      <c r="H50" s="376">
        <v>871</v>
      </c>
      <c r="I50" s="376">
        <v>987</v>
      </c>
      <c r="J50" s="376">
        <v>2234</v>
      </c>
      <c r="K50" s="376">
        <v>2112</v>
      </c>
      <c r="L50" s="376">
        <v>1851</v>
      </c>
      <c r="M50" s="377">
        <v>568</v>
      </c>
      <c r="N50" s="377">
        <v>251</v>
      </c>
      <c r="O50" s="376">
        <v>127</v>
      </c>
      <c r="P50" s="378">
        <v>53</v>
      </c>
    </row>
    <row r="51" spans="2:16" ht="11.25">
      <c r="B51" s="366"/>
      <c r="C51" s="164" t="s">
        <v>11</v>
      </c>
      <c r="D51" s="352">
        <f>+F51+F52</f>
        <v>15482</v>
      </c>
      <c r="E51" s="367" t="s">
        <v>319</v>
      </c>
      <c r="F51" s="368">
        <f t="shared" si="0"/>
        <v>8609</v>
      </c>
      <c r="G51" s="369">
        <v>183</v>
      </c>
      <c r="H51" s="370">
        <v>653</v>
      </c>
      <c r="I51" s="370">
        <v>806</v>
      </c>
      <c r="J51" s="370">
        <v>1700</v>
      </c>
      <c r="K51" s="370">
        <v>1514</v>
      </c>
      <c r="L51" s="370">
        <v>1653</v>
      </c>
      <c r="M51" s="371">
        <v>711</v>
      </c>
      <c r="N51" s="371">
        <v>541</v>
      </c>
      <c r="O51" s="370">
        <v>440</v>
      </c>
      <c r="P51" s="372">
        <v>408</v>
      </c>
    </row>
    <row r="52" spans="2:16" ht="11.25">
      <c r="B52" s="366"/>
      <c r="C52" s="164"/>
      <c r="D52" s="352"/>
      <c r="E52" s="373" t="s">
        <v>320</v>
      </c>
      <c r="F52" s="374">
        <f t="shared" si="0"/>
        <v>6873</v>
      </c>
      <c r="G52" s="375">
        <v>120</v>
      </c>
      <c r="H52" s="376">
        <v>632</v>
      </c>
      <c r="I52" s="376">
        <v>807</v>
      </c>
      <c r="J52" s="376">
        <v>1747</v>
      </c>
      <c r="K52" s="376">
        <v>1418</v>
      </c>
      <c r="L52" s="376">
        <v>1434</v>
      </c>
      <c r="M52" s="377">
        <v>402</v>
      </c>
      <c r="N52" s="377">
        <v>183</v>
      </c>
      <c r="O52" s="376">
        <v>94</v>
      </c>
      <c r="P52" s="378">
        <v>36</v>
      </c>
    </row>
    <row r="53" spans="2:16" ht="11.25">
      <c r="B53" s="366"/>
      <c r="C53" s="164" t="s">
        <v>300</v>
      </c>
      <c r="D53" s="352">
        <f>+F53+F54</f>
        <v>8674</v>
      </c>
      <c r="E53" s="367" t="s">
        <v>319</v>
      </c>
      <c r="F53" s="368">
        <f t="shared" si="0"/>
        <v>4694</v>
      </c>
      <c r="G53" s="369">
        <v>95</v>
      </c>
      <c r="H53" s="370">
        <v>343</v>
      </c>
      <c r="I53" s="370">
        <v>368</v>
      </c>
      <c r="J53" s="370">
        <v>862</v>
      </c>
      <c r="K53" s="370">
        <v>800</v>
      </c>
      <c r="L53" s="370">
        <v>964</v>
      </c>
      <c r="M53" s="371">
        <v>357</v>
      </c>
      <c r="N53" s="371">
        <v>274</v>
      </c>
      <c r="O53" s="370">
        <v>280</v>
      </c>
      <c r="P53" s="372">
        <v>351</v>
      </c>
    </row>
    <row r="54" spans="2:16" ht="11.25">
      <c r="B54" s="379"/>
      <c r="C54" s="164"/>
      <c r="D54" s="352"/>
      <c r="E54" s="373" t="s">
        <v>320</v>
      </c>
      <c r="F54" s="306">
        <f t="shared" si="0"/>
        <v>3980</v>
      </c>
      <c r="G54" s="301">
        <v>94</v>
      </c>
      <c r="H54" s="302">
        <v>391</v>
      </c>
      <c r="I54" s="302">
        <v>422</v>
      </c>
      <c r="J54" s="302">
        <v>895</v>
      </c>
      <c r="K54" s="302">
        <v>830</v>
      </c>
      <c r="L54" s="302">
        <v>848</v>
      </c>
      <c r="M54" s="307">
        <v>251</v>
      </c>
      <c r="N54" s="307">
        <v>138</v>
      </c>
      <c r="O54" s="302">
        <v>73</v>
      </c>
      <c r="P54" s="380">
        <v>38</v>
      </c>
    </row>
    <row r="55" spans="2:16" ht="11.25">
      <c r="B55" s="350" t="s">
        <v>7</v>
      </c>
      <c r="C55" s="351"/>
      <c r="D55" s="352">
        <f>+F55+F56</f>
        <v>60916</v>
      </c>
      <c r="E55" s="353" t="s">
        <v>319</v>
      </c>
      <c r="F55" s="354">
        <f t="shared" si="0"/>
        <v>33500</v>
      </c>
      <c r="G55" s="355">
        <f aca="true" t="shared" si="6" ref="G55:P56">+G57+G59+G61+G63</f>
        <v>665</v>
      </c>
      <c r="H55" s="355">
        <f t="shared" si="6"/>
        <v>2561</v>
      </c>
      <c r="I55" s="355">
        <f t="shared" si="6"/>
        <v>2687</v>
      </c>
      <c r="J55" s="355">
        <f t="shared" si="6"/>
        <v>6317</v>
      </c>
      <c r="K55" s="355">
        <f t="shared" si="6"/>
        <v>5929</v>
      </c>
      <c r="L55" s="355">
        <f t="shared" si="6"/>
        <v>6793</v>
      </c>
      <c r="M55" s="356">
        <f t="shared" si="6"/>
        <v>2599</v>
      </c>
      <c r="N55" s="356">
        <f>+N57+N59+N61+N63</f>
        <v>2058</v>
      </c>
      <c r="O55" s="355">
        <f t="shared" si="6"/>
        <v>1854</v>
      </c>
      <c r="P55" s="357">
        <f t="shared" si="6"/>
        <v>2037</v>
      </c>
    </row>
    <row r="56" spans="2:16" ht="11.25">
      <c r="B56" s="358"/>
      <c r="C56" s="359"/>
      <c r="D56" s="352"/>
      <c r="E56" s="360" t="s">
        <v>320</v>
      </c>
      <c r="F56" s="361">
        <f t="shared" si="0"/>
        <v>27416</v>
      </c>
      <c r="G56" s="362">
        <f t="shared" si="6"/>
        <v>530</v>
      </c>
      <c r="H56" s="363">
        <f t="shared" si="6"/>
        <v>2446</v>
      </c>
      <c r="I56" s="363">
        <f t="shared" si="6"/>
        <v>2812</v>
      </c>
      <c r="J56" s="363">
        <f t="shared" si="6"/>
        <v>6342</v>
      </c>
      <c r="K56" s="363">
        <f t="shared" si="6"/>
        <v>5910</v>
      </c>
      <c r="L56" s="363">
        <f t="shared" si="6"/>
        <v>5875</v>
      </c>
      <c r="M56" s="364">
        <f t="shared" si="6"/>
        <v>1731</v>
      </c>
      <c r="N56" s="364">
        <f>+N58+N60+N62+N64</f>
        <v>956</v>
      </c>
      <c r="O56" s="363">
        <f t="shared" si="6"/>
        <v>555</v>
      </c>
      <c r="P56" s="365">
        <f t="shared" si="6"/>
        <v>259</v>
      </c>
    </row>
    <row r="57" spans="2:16" ht="11.25">
      <c r="B57" s="366"/>
      <c r="C57" s="164" t="s">
        <v>8</v>
      </c>
      <c r="D57" s="352">
        <f>+F57+F58</f>
        <v>15427</v>
      </c>
      <c r="E57" s="367" t="s">
        <v>319</v>
      </c>
      <c r="F57" s="368">
        <f t="shared" si="0"/>
        <v>8466</v>
      </c>
      <c r="G57" s="369">
        <v>183</v>
      </c>
      <c r="H57" s="370">
        <v>654</v>
      </c>
      <c r="I57" s="370">
        <v>682</v>
      </c>
      <c r="J57" s="370">
        <v>1444</v>
      </c>
      <c r="K57" s="370">
        <v>1469</v>
      </c>
      <c r="L57" s="370">
        <v>1788</v>
      </c>
      <c r="M57" s="371">
        <v>652</v>
      </c>
      <c r="N57" s="371">
        <v>520</v>
      </c>
      <c r="O57" s="370">
        <v>512</v>
      </c>
      <c r="P57" s="372">
        <v>562</v>
      </c>
    </row>
    <row r="58" spans="2:16" ht="11.25">
      <c r="B58" s="366"/>
      <c r="C58" s="164"/>
      <c r="D58" s="352"/>
      <c r="E58" s="373" t="s">
        <v>320</v>
      </c>
      <c r="F58" s="374">
        <f t="shared" si="0"/>
        <v>6961</v>
      </c>
      <c r="G58" s="375">
        <v>134</v>
      </c>
      <c r="H58" s="376">
        <v>616</v>
      </c>
      <c r="I58" s="376">
        <v>657</v>
      </c>
      <c r="J58" s="376">
        <v>1428</v>
      </c>
      <c r="K58" s="376">
        <v>1481</v>
      </c>
      <c r="L58" s="376">
        <v>1524</v>
      </c>
      <c r="M58" s="377">
        <v>484</v>
      </c>
      <c r="N58" s="377">
        <v>325</v>
      </c>
      <c r="O58" s="376">
        <v>208</v>
      </c>
      <c r="P58" s="378">
        <v>104</v>
      </c>
    </row>
    <row r="59" spans="2:16" ht="11.25">
      <c r="B59" s="366"/>
      <c r="C59" s="164" t="s">
        <v>9</v>
      </c>
      <c r="D59" s="352">
        <f>+F59+F60</f>
        <v>21071</v>
      </c>
      <c r="E59" s="367" t="s">
        <v>319</v>
      </c>
      <c r="F59" s="368">
        <f t="shared" si="0"/>
        <v>11654</v>
      </c>
      <c r="G59" s="369">
        <v>228</v>
      </c>
      <c r="H59" s="370">
        <v>923</v>
      </c>
      <c r="I59" s="370">
        <v>941</v>
      </c>
      <c r="J59" s="370">
        <v>2253</v>
      </c>
      <c r="K59" s="370">
        <v>2097</v>
      </c>
      <c r="L59" s="370">
        <v>2320</v>
      </c>
      <c r="M59" s="371">
        <v>909</v>
      </c>
      <c r="N59" s="371">
        <v>696</v>
      </c>
      <c r="O59" s="370">
        <v>630</v>
      </c>
      <c r="P59" s="372">
        <v>657</v>
      </c>
    </row>
    <row r="60" spans="2:16" ht="11.25">
      <c r="B60" s="366"/>
      <c r="C60" s="164"/>
      <c r="D60" s="352"/>
      <c r="E60" s="373" t="s">
        <v>320</v>
      </c>
      <c r="F60" s="374">
        <f t="shared" si="0"/>
        <v>9417</v>
      </c>
      <c r="G60" s="375">
        <v>177</v>
      </c>
      <c r="H60" s="376">
        <v>873</v>
      </c>
      <c r="I60" s="376">
        <v>951</v>
      </c>
      <c r="J60" s="376">
        <v>2231</v>
      </c>
      <c r="K60" s="376">
        <v>2151</v>
      </c>
      <c r="L60" s="376">
        <v>1967</v>
      </c>
      <c r="M60" s="377">
        <v>569</v>
      </c>
      <c r="N60" s="377">
        <v>281</v>
      </c>
      <c r="O60" s="376">
        <v>153</v>
      </c>
      <c r="P60" s="378">
        <v>64</v>
      </c>
    </row>
    <row r="61" spans="2:16" ht="11.25">
      <c r="B61" s="366"/>
      <c r="C61" s="164" t="s">
        <v>11</v>
      </c>
      <c r="D61" s="352">
        <f>+F61+F62</f>
        <v>15676</v>
      </c>
      <c r="E61" s="367" t="s">
        <v>319</v>
      </c>
      <c r="F61" s="368">
        <f t="shared" si="0"/>
        <v>8677</v>
      </c>
      <c r="G61" s="369">
        <v>156</v>
      </c>
      <c r="H61" s="370">
        <v>654</v>
      </c>
      <c r="I61" s="370">
        <v>723</v>
      </c>
      <c r="J61" s="370">
        <v>1762</v>
      </c>
      <c r="K61" s="370">
        <v>1541</v>
      </c>
      <c r="L61" s="370">
        <v>1691</v>
      </c>
      <c r="M61" s="371">
        <v>690</v>
      </c>
      <c r="N61" s="371">
        <v>554</v>
      </c>
      <c r="O61" s="370">
        <v>461</v>
      </c>
      <c r="P61" s="372">
        <v>445</v>
      </c>
    </row>
    <row r="62" spans="2:16" ht="11.25">
      <c r="B62" s="366"/>
      <c r="C62" s="164"/>
      <c r="D62" s="352"/>
      <c r="E62" s="373" t="s">
        <v>320</v>
      </c>
      <c r="F62" s="374">
        <f t="shared" si="0"/>
        <v>6999</v>
      </c>
      <c r="G62" s="375">
        <v>133</v>
      </c>
      <c r="H62" s="376">
        <v>582</v>
      </c>
      <c r="I62" s="376">
        <v>788</v>
      </c>
      <c r="J62" s="376">
        <v>1782</v>
      </c>
      <c r="K62" s="376">
        <v>1430</v>
      </c>
      <c r="L62" s="376">
        <v>1503</v>
      </c>
      <c r="M62" s="377">
        <v>429</v>
      </c>
      <c r="N62" s="377">
        <v>201</v>
      </c>
      <c r="O62" s="376">
        <v>102</v>
      </c>
      <c r="P62" s="378">
        <v>49</v>
      </c>
    </row>
    <row r="63" spans="2:16" ht="11.25">
      <c r="B63" s="366"/>
      <c r="C63" s="164" t="s">
        <v>300</v>
      </c>
      <c r="D63" s="352">
        <f>+F63+F64</f>
        <v>8742</v>
      </c>
      <c r="E63" s="367" t="s">
        <v>319</v>
      </c>
      <c r="F63" s="368">
        <f t="shared" si="0"/>
        <v>4703</v>
      </c>
      <c r="G63" s="369">
        <v>98</v>
      </c>
      <c r="H63" s="370">
        <v>330</v>
      </c>
      <c r="I63" s="370">
        <v>341</v>
      </c>
      <c r="J63" s="370">
        <v>858</v>
      </c>
      <c r="K63" s="370">
        <v>822</v>
      </c>
      <c r="L63" s="370">
        <v>994</v>
      </c>
      <c r="M63" s="371">
        <v>348</v>
      </c>
      <c r="N63" s="371">
        <v>288</v>
      </c>
      <c r="O63" s="370">
        <v>251</v>
      </c>
      <c r="P63" s="372">
        <v>373</v>
      </c>
    </row>
    <row r="64" spans="2:16" ht="11.25">
      <c r="B64" s="379"/>
      <c r="C64" s="164"/>
      <c r="D64" s="352"/>
      <c r="E64" s="373" t="s">
        <v>320</v>
      </c>
      <c r="F64" s="306">
        <f t="shared" si="0"/>
        <v>4039</v>
      </c>
      <c r="G64" s="301">
        <v>86</v>
      </c>
      <c r="H64" s="302">
        <v>375</v>
      </c>
      <c r="I64" s="302">
        <v>416</v>
      </c>
      <c r="J64" s="302">
        <v>901</v>
      </c>
      <c r="K64" s="302">
        <v>848</v>
      </c>
      <c r="L64" s="302">
        <v>881</v>
      </c>
      <c r="M64" s="307">
        <v>249</v>
      </c>
      <c r="N64" s="307">
        <v>149</v>
      </c>
      <c r="O64" s="302">
        <v>92</v>
      </c>
      <c r="P64" s="380">
        <v>42</v>
      </c>
    </row>
    <row r="65" spans="2:16" ht="11.25">
      <c r="B65" s="350" t="s">
        <v>17</v>
      </c>
      <c r="C65" s="351"/>
      <c r="D65" s="352">
        <f>+F65+F66</f>
        <v>61479</v>
      </c>
      <c r="E65" s="353" t="s">
        <v>319</v>
      </c>
      <c r="F65" s="354">
        <f t="shared" si="0"/>
        <v>33673</v>
      </c>
      <c r="G65" s="355">
        <v>634</v>
      </c>
      <c r="H65" s="355">
        <v>2530</v>
      </c>
      <c r="I65" s="355">
        <v>2583</v>
      </c>
      <c r="J65" s="355">
        <v>6532</v>
      </c>
      <c r="K65" s="355">
        <v>5790</v>
      </c>
      <c r="L65" s="355">
        <v>6928</v>
      </c>
      <c r="M65" s="356">
        <v>2504</v>
      </c>
      <c r="N65" s="356">
        <v>2154</v>
      </c>
      <c r="O65" s="355">
        <v>1841</v>
      </c>
      <c r="P65" s="357">
        <v>2177</v>
      </c>
    </row>
    <row r="66" spans="2:16" ht="11.25">
      <c r="B66" s="381"/>
      <c r="C66" s="382"/>
      <c r="D66" s="352"/>
      <c r="E66" s="360" t="s">
        <v>320</v>
      </c>
      <c r="F66" s="361">
        <f t="shared" si="0"/>
        <v>27806</v>
      </c>
      <c r="G66" s="362">
        <v>514</v>
      </c>
      <c r="H66" s="363">
        <v>2479</v>
      </c>
      <c r="I66" s="363">
        <v>2629</v>
      </c>
      <c r="J66" s="363">
        <v>6555</v>
      </c>
      <c r="K66" s="363">
        <v>5805</v>
      </c>
      <c r="L66" s="363">
        <v>6030</v>
      </c>
      <c r="M66" s="364">
        <v>1776</v>
      </c>
      <c r="N66" s="364">
        <v>1071</v>
      </c>
      <c r="O66" s="363">
        <v>636</v>
      </c>
      <c r="P66" s="365">
        <v>311</v>
      </c>
    </row>
    <row r="67" spans="2:16" ht="11.25">
      <c r="B67" s="350" t="s">
        <v>24</v>
      </c>
      <c r="C67" s="351"/>
      <c r="D67" s="352">
        <f>+F67+F68</f>
        <v>62070</v>
      </c>
      <c r="E67" s="353" t="s">
        <v>319</v>
      </c>
      <c r="F67" s="354">
        <f t="shared" si="0"/>
        <v>33891</v>
      </c>
      <c r="G67" s="355">
        <v>621</v>
      </c>
      <c r="H67" s="355">
        <v>2508</v>
      </c>
      <c r="I67" s="355">
        <v>2540</v>
      </c>
      <c r="J67" s="355">
        <v>6517</v>
      </c>
      <c r="K67" s="355">
        <v>5812</v>
      </c>
      <c r="L67" s="355">
        <v>6659</v>
      </c>
      <c r="M67" s="356">
        <v>2733</v>
      </c>
      <c r="N67" s="356">
        <v>2247</v>
      </c>
      <c r="O67" s="355">
        <v>1901</v>
      </c>
      <c r="P67" s="357">
        <v>2353</v>
      </c>
    </row>
    <row r="68" spans="2:16" ht="11.25">
      <c r="B68" s="381"/>
      <c r="C68" s="382"/>
      <c r="D68" s="352"/>
      <c r="E68" s="360" t="s">
        <v>320</v>
      </c>
      <c r="F68" s="361">
        <f t="shared" si="0"/>
        <v>28179</v>
      </c>
      <c r="G68" s="362">
        <v>511</v>
      </c>
      <c r="H68" s="363">
        <v>2425</v>
      </c>
      <c r="I68" s="363">
        <v>2561</v>
      </c>
      <c r="J68" s="363">
        <v>6409</v>
      </c>
      <c r="K68" s="363">
        <v>5943</v>
      </c>
      <c r="L68" s="363">
        <v>5989</v>
      </c>
      <c r="M68" s="364">
        <v>2040</v>
      </c>
      <c r="N68" s="364">
        <v>1220</v>
      </c>
      <c r="O68" s="363">
        <v>703</v>
      </c>
      <c r="P68" s="365">
        <v>378</v>
      </c>
    </row>
    <row r="69" spans="2:16" ht="11.25">
      <c r="B69" s="350" t="s">
        <v>25</v>
      </c>
      <c r="C69" s="351"/>
      <c r="D69" s="352">
        <f>+F69+F70</f>
        <v>62466</v>
      </c>
      <c r="E69" s="353" t="s">
        <v>319</v>
      </c>
      <c r="F69" s="354">
        <f aca="true" t="shared" si="7" ref="F69:F82">SUM(G69:P69)</f>
        <v>34017</v>
      </c>
      <c r="G69" s="355">
        <v>589</v>
      </c>
      <c r="H69" s="355">
        <v>2486</v>
      </c>
      <c r="I69" s="355">
        <v>2505</v>
      </c>
      <c r="J69" s="355">
        <v>6465</v>
      </c>
      <c r="K69" s="355">
        <v>5791</v>
      </c>
      <c r="L69" s="355">
        <v>6450</v>
      </c>
      <c r="M69" s="356">
        <v>2966</v>
      </c>
      <c r="N69" s="356">
        <v>2435</v>
      </c>
      <c r="O69" s="355">
        <v>1874</v>
      </c>
      <c r="P69" s="357">
        <v>2456</v>
      </c>
    </row>
    <row r="70" spans="2:16" ht="11.25">
      <c r="B70" s="381"/>
      <c r="C70" s="382"/>
      <c r="D70" s="352"/>
      <c r="E70" s="360" t="s">
        <v>320</v>
      </c>
      <c r="F70" s="361">
        <f t="shared" si="7"/>
        <v>28449</v>
      </c>
      <c r="G70" s="362">
        <v>513</v>
      </c>
      <c r="H70" s="363">
        <v>2345</v>
      </c>
      <c r="I70" s="363">
        <v>2447</v>
      </c>
      <c r="J70" s="363">
        <v>6356</v>
      </c>
      <c r="K70" s="363">
        <v>5946</v>
      </c>
      <c r="L70" s="363">
        <v>5928</v>
      </c>
      <c r="M70" s="364">
        <v>2295</v>
      </c>
      <c r="N70" s="364">
        <v>1432</v>
      </c>
      <c r="O70" s="363">
        <v>748</v>
      </c>
      <c r="P70" s="365">
        <v>439</v>
      </c>
    </row>
    <row r="71" spans="2:16" ht="11.25">
      <c r="B71" s="350" t="s">
        <v>26</v>
      </c>
      <c r="C71" s="351"/>
      <c r="D71" s="352">
        <f>+F71+F72</f>
        <v>62695</v>
      </c>
      <c r="E71" s="353" t="s">
        <v>319</v>
      </c>
      <c r="F71" s="354">
        <f t="shared" si="7"/>
        <v>33983</v>
      </c>
      <c r="G71" s="355">
        <v>530</v>
      </c>
      <c r="H71" s="355">
        <v>2427</v>
      </c>
      <c r="I71" s="355">
        <v>2522</v>
      </c>
      <c r="J71" s="355">
        <v>6338</v>
      </c>
      <c r="K71" s="355">
        <v>5816</v>
      </c>
      <c r="L71" s="355">
        <v>6156</v>
      </c>
      <c r="M71" s="356">
        <v>3232</v>
      </c>
      <c r="N71" s="356">
        <v>2576</v>
      </c>
      <c r="O71" s="355">
        <v>1854</v>
      </c>
      <c r="P71" s="357">
        <v>2532</v>
      </c>
    </row>
    <row r="72" spans="2:16" ht="11.25">
      <c r="B72" s="381"/>
      <c r="C72" s="382"/>
      <c r="D72" s="352"/>
      <c r="E72" s="360" t="s">
        <v>320</v>
      </c>
      <c r="F72" s="361">
        <f t="shared" si="7"/>
        <v>28712</v>
      </c>
      <c r="G72" s="362">
        <v>479</v>
      </c>
      <c r="H72" s="363">
        <v>2298</v>
      </c>
      <c r="I72" s="363">
        <v>2388</v>
      </c>
      <c r="J72" s="363">
        <v>6234</v>
      </c>
      <c r="K72" s="363">
        <v>5985</v>
      </c>
      <c r="L72" s="363">
        <v>5775</v>
      </c>
      <c r="M72" s="364">
        <v>2598</v>
      </c>
      <c r="N72" s="364">
        <v>1660</v>
      </c>
      <c r="O72" s="363">
        <v>799</v>
      </c>
      <c r="P72" s="365">
        <v>496</v>
      </c>
    </row>
    <row r="73" spans="2:16" ht="11.25">
      <c r="B73" s="350" t="s">
        <v>29</v>
      </c>
      <c r="C73" s="351"/>
      <c r="D73" s="352">
        <f>+F73+F74</f>
        <v>62960</v>
      </c>
      <c r="E73" s="353" t="s">
        <v>319</v>
      </c>
      <c r="F73" s="354">
        <f t="shared" si="7"/>
        <v>33931</v>
      </c>
      <c r="G73" s="355">
        <v>519</v>
      </c>
      <c r="H73" s="355">
        <v>2346</v>
      </c>
      <c r="I73" s="355">
        <v>2482</v>
      </c>
      <c r="J73" s="355">
        <v>6215</v>
      </c>
      <c r="K73" s="355">
        <v>5847</v>
      </c>
      <c r="L73" s="355">
        <v>6018</v>
      </c>
      <c r="M73" s="356">
        <v>3504</v>
      </c>
      <c r="N73" s="356">
        <v>2494</v>
      </c>
      <c r="O73" s="355">
        <v>1890</v>
      </c>
      <c r="P73" s="357">
        <v>2616</v>
      </c>
    </row>
    <row r="74" spans="2:16" ht="11.25">
      <c r="B74" s="381"/>
      <c r="C74" s="382"/>
      <c r="D74" s="352"/>
      <c r="E74" s="360" t="s">
        <v>320</v>
      </c>
      <c r="F74" s="361">
        <f t="shared" si="7"/>
        <v>29029</v>
      </c>
      <c r="G74" s="362">
        <v>495</v>
      </c>
      <c r="H74" s="363">
        <v>2243</v>
      </c>
      <c r="I74" s="363">
        <v>2360</v>
      </c>
      <c r="J74" s="363">
        <v>6108</v>
      </c>
      <c r="K74" s="363">
        <v>6036</v>
      </c>
      <c r="L74" s="363">
        <v>5728</v>
      </c>
      <c r="M74" s="364">
        <v>2932</v>
      </c>
      <c r="N74" s="364">
        <v>1672</v>
      </c>
      <c r="O74" s="363">
        <v>870</v>
      </c>
      <c r="P74" s="365">
        <v>585</v>
      </c>
    </row>
    <row r="75" spans="2:16" ht="11.25">
      <c r="B75" s="350" t="s">
        <v>30</v>
      </c>
      <c r="C75" s="351"/>
      <c r="D75" s="352">
        <f>+F75+F76</f>
        <v>63298</v>
      </c>
      <c r="E75" s="353" t="s">
        <v>319</v>
      </c>
      <c r="F75" s="354">
        <f t="shared" si="7"/>
        <v>34021</v>
      </c>
      <c r="G75" s="355">
        <v>560</v>
      </c>
      <c r="H75" s="355">
        <v>2271</v>
      </c>
      <c r="I75" s="355">
        <v>2493</v>
      </c>
      <c r="J75" s="355">
        <v>6058</v>
      </c>
      <c r="K75" s="355">
        <v>5987</v>
      </c>
      <c r="L75" s="355">
        <v>5863</v>
      </c>
      <c r="M75" s="356">
        <v>3705</v>
      </c>
      <c r="N75" s="356">
        <v>2414</v>
      </c>
      <c r="O75" s="355">
        <v>1975</v>
      </c>
      <c r="P75" s="357">
        <v>2695</v>
      </c>
    </row>
    <row r="76" spans="2:16" ht="11.25">
      <c r="B76" s="381"/>
      <c r="C76" s="382"/>
      <c r="D76" s="352"/>
      <c r="E76" s="360" t="s">
        <v>320</v>
      </c>
      <c r="F76" s="361">
        <f t="shared" si="7"/>
        <v>29277</v>
      </c>
      <c r="G76" s="362">
        <v>445</v>
      </c>
      <c r="H76" s="363">
        <v>2231</v>
      </c>
      <c r="I76" s="363">
        <v>2363</v>
      </c>
      <c r="J76" s="363">
        <v>5899</v>
      </c>
      <c r="K76" s="363">
        <v>6112</v>
      </c>
      <c r="L76" s="363">
        <v>5660</v>
      </c>
      <c r="M76" s="364">
        <v>3180</v>
      </c>
      <c r="N76" s="364">
        <v>1725</v>
      </c>
      <c r="O76" s="363">
        <v>975</v>
      </c>
      <c r="P76" s="365">
        <v>687</v>
      </c>
    </row>
    <row r="77" spans="2:16" ht="11.25">
      <c r="B77" s="350" t="s">
        <v>32</v>
      </c>
      <c r="C77" s="351"/>
      <c r="D77" s="352">
        <f>+F77+F78</f>
        <v>63695</v>
      </c>
      <c r="E77" s="353" t="s">
        <v>319</v>
      </c>
      <c r="F77" s="354">
        <f t="shared" si="7"/>
        <v>34111</v>
      </c>
      <c r="G77" s="355">
        <v>542</v>
      </c>
      <c r="H77" s="355">
        <v>2271</v>
      </c>
      <c r="I77" s="355">
        <v>2482</v>
      </c>
      <c r="J77" s="355">
        <v>5849</v>
      </c>
      <c r="K77" s="355">
        <v>6120</v>
      </c>
      <c r="L77" s="355">
        <v>5753</v>
      </c>
      <c r="M77" s="356">
        <v>3558</v>
      </c>
      <c r="N77" s="356">
        <v>2615</v>
      </c>
      <c r="O77" s="355">
        <v>2068</v>
      </c>
      <c r="P77" s="357">
        <v>2853</v>
      </c>
    </row>
    <row r="78" spans="2:16" ht="11.25">
      <c r="B78" s="381"/>
      <c r="C78" s="382"/>
      <c r="D78" s="352"/>
      <c r="E78" s="360" t="s">
        <v>320</v>
      </c>
      <c r="F78" s="361">
        <f t="shared" si="7"/>
        <v>29584</v>
      </c>
      <c r="G78" s="362">
        <v>475</v>
      </c>
      <c r="H78" s="363">
        <v>2166</v>
      </c>
      <c r="I78" s="363">
        <v>2321</v>
      </c>
      <c r="J78" s="363">
        <v>5702</v>
      </c>
      <c r="K78" s="363">
        <v>6243</v>
      </c>
      <c r="L78" s="363">
        <v>5582</v>
      </c>
      <c r="M78" s="364">
        <v>3207</v>
      </c>
      <c r="N78" s="364">
        <v>1979</v>
      </c>
      <c r="O78" s="363">
        <v>1134</v>
      </c>
      <c r="P78" s="365">
        <v>775</v>
      </c>
    </row>
    <row r="79" spans="2:16" ht="11.25">
      <c r="B79" s="350" t="s">
        <v>33</v>
      </c>
      <c r="C79" s="351"/>
      <c r="D79" s="352">
        <f>+F79+F80</f>
        <v>64010</v>
      </c>
      <c r="E79" s="353" t="s">
        <v>319</v>
      </c>
      <c r="F79" s="354">
        <f t="shared" si="7"/>
        <v>34059</v>
      </c>
      <c r="G79" s="355">
        <v>563</v>
      </c>
      <c r="H79" s="355">
        <v>2192</v>
      </c>
      <c r="I79" s="355">
        <v>2409</v>
      </c>
      <c r="J79" s="355">
        <v>5665</v>
      </c>
      <c r="K79" s="355">
        <v>6224</v>
      </c>
      <c r="L79" s="355">
        <v>5690</v>
      </c>
      <c r="M79" s="356">
        <v>3335</v>
      </c>
      <c r="N79" s="356">
        <v>2809</v>
      </c>
      <c r="O79" s="355">
        <v>2247</v>
      </c>
      <c r="P79" s="357">
        <v>2925</v>
      </c>
    </row>
    <row r="80" spans="2:16" ht="11.25">
      <c r="B80" s="381"/>
      <c r="C80" s="382"/>
      <c r="D80" s="352"/>
      <c r="E80" s="360" t="s">
        <v>320</v>
      </c>
      <c r="F80" s="361">
        <f t="shared" si="7"/>
        <v>29951</v>
      </c>
      <c r="G80" s="362">
        <v>547</v>
      </c>
      <c r="H80" s="363">
        <v>2154</v>
      </c>
      <c r="I80" s="363">
        <v>2252</v>
      </c>
      <c r="J80" s="363">
        <v>5478</v>
      </c>
      <c r="K80" s="363">
        <v>6340</v>
      </c>
      <c r="L80" s="363">
        <v>5640</v>
      </c>
      <c r="M80" s="364">
        <v>3116</v>
      </c>
      <c r="N80" s="364">
        <v>2236</v>
      </c>
      <c r="O80" s="363">
        <v>1339</v>
      </c>
      <c r="P80" s="365">
        <v>849</v>
      </c>
    </row>
    <row r="81" spans="2:16" ht="11.25">
      <c r="B81" s="350" t="s">
        <v>34</v>
      </c>
      <c r="C81" s="383"/>
      <c r="D81" s="384">
        <f>+F81+F82</f>
        <v>64197</v>
      </c>
      <c r="E81" s="353" t="s">
        <v>319</v>
      </c>
      <c r="F81" s="354">
        <f t="shared" si="7"/>
        <v>34082</v>
      </c>
      <c r="G81" s="355">
        <v>541</v>
      </c>
      <c r="H81" s="355">
        <v>2212</v>
      </c>
      <c r="I81" s="355">
        <v>2310</v>
      </c>
      <c r="J81" s="355">
        <v>5476</v>
      </c>
      <c r="K81" s="355">
        <v>6337</v>
      </c>
      <c r="L81" s="355">
        <v>5679</v>
      </c>
      <c r="M81" s="356">
        <v>3122</v>
      </c>
      <c r="N81" s="356">
        <v>3084</v>
      </c>
      <c r="O81" s="355">
        <v>2350</v>
      </c>
      <c r="P81" s="357">
        <v>2971</v>
      </c>
    </row>
    <row r="82" spans="2:16" ht="11.25">
      <c r="B82" s="385"/>
      <c r="C82" s="386"/>
      <c r="D82" s="387"/>
      <c r="E82" s="360" t="s">
        <v>320</v>
      </c>
      <c r="F82" s="361">
        <f t="shared" si="7"/>
        <v>30115</v>
      </c>
      <c r="G82" s="362">
        <v>480</v>
      </c>
      <c r="H82" s="363">
        <v>2149</v>
      </c>
      <c r="I82" s="363">
        <v>2190</v>
      </c>
      <c r="J82" s="363">
        <v>5266</v>
      </c>
      <c r="K82" s="363">
        <v>6348</v>
      </c>
      <c r="L82" s="363">
        <v>5707</v>
      </c>
      <c r="M82" s="364">
        <v>2956</v>
      </c>
      <c r="N82" s="364">
        <v>2545</v>
      </c>
      <c r="O82" s="363">
        <v>1545</v>
      </c>
      <c r="P82" s="365">
        <v>929</v>
      </c>
    </row>
    <row r="83" ht="15" customHeight="1">
      <c r="P83" s="32" t="s">
        <v>321</v>
      </c>
    </row>
    <row r="84" ht="15" customHeight="1"/>
  </sheetData>
  <sheetProtection/>
  <mergeCells count="83">
    <mergeCell ref="B79:C80"/>
    <mergeCell ref="D79:D80"/>
    <mergeCell ref="B81:C82"/>
    <mergeCell ref="D81:D82"/>
    <mergeCell ref="B73:C74"/>
    <mergeCell ref="D73:D74"/>
    <mergeCell ref="B75:C76"/>
    <mergeCell ref="D75:D76"/>
    <mergeCell ref="B77:C78"/>
    <mergeCell ref="D77:D78"/>
    <mergeCell ref="B67:C68"/>
    <mergeCell ref="D67:D68"/>
    <mergeCell ref="B69:C70"/>
    <mergeCell ref="D69:D70"/>
    <mergeCell ref="B71:C72"/>
    <mergeCell ref="D71:D72"/>
    <mergeCell ref="C61:C62"/>
    <mergeCell ref="D61:D62"/>
    <mergeCell ref="C63:C64"/>
    <mergeCell ref="D63:D64"/>
    <mergeCell ref="B65:C66"/>
    <mergeCell ref="D65:D66"/>
    <mergeCell ref="B55:C56"/>
    <mergeCell ref="D55:D56"/>
    <mergeCell ref="C57:C58"/>
    <mergeCell ref="D57:D58"/>
    <mergeCell ref="C59:C60"/>
    <mergeCell ref="D59:D60"/>
    <mergeCell ref="C49:C50"/>
    <mergeCell ref="D49:D50"/>
    <mergeCell ref="C51:C52"/>
    <mergeCell ref="D51:D52"/>
    <mergeCell ref="C53:C54"/>
    <mergeCell ref="D53:D54"/>
    <mergeCell ref="C43:C44"/>
    <mergeCell ref="D43:D44"/>
    <mergeCell ref="B45:C46"/>
    <mergeCell ref="D45:D46"/>
    <mergeCell ref="C47:C48"/>
    <mergeCell ref="D47:D48"/>
    <mergeCell ref="C37:C38"/>
    <mergeCell ref="D37:D38"/>
    <mergeCell ref="C39:C40"/>
    <mergeCell ref="D39:D40"/>
    <mergeCell ref="C41:C42"/>
    <mergeCell ref="D41:D42"/>
    <mergeCell ref="C31:C32"/>
    <mergeCell ref="D31:D32"/>
    <mergeCell ref="C33:C34"/>
    <mergeCell ref="D33:D34"/>
    <mergeCell ref="B35:C36"/>
    <mergeCell ref="D35:D36"/>
    <mergeCell ref="B25:C26"/>
    <mergeCell ref="D25:D26"/>
    <mergeCell ref="C27:C28"/>
    <mergeCell ref="D27:D28"/>
    <mergeCell ref="C29:C30"/>
    <mergeCell ref="D29:D30"/>
    <mergeCell ref="C19:C20"/>
    <mergeCell ref="D19:D20"/>
    <mergeCell ref="C21:C22"/>
    <mergeCell ref="D21:D22"/>
    <mergeCell ref="C23:C24"/>
    <mergeCell ref="D23:D24"/>
    <mergeCell ref="C13:C14"/>
    <mergeCell ref="D13:D14"/>
    <mergeCell ref="B15:C16"/>
    <mergeCell ref="D15:D16"/>
    <mergeCell ref="C17:C18"/>
    <mergeCell ref="D17:D18"/>
    <mergeCell ref="C7:C8"/>
    <mergeCell ref="D7:D8"/>
    <mergeCell ref="C9:C10"/>
    <mergeCell ref="D9:D10"/>
    <mergeCell ref="C11:C12"/>
    <mergeCell ref="D11:D12"/>
    <mergeCell ref="B3:C4"/>
    <mergeCell ref="D3:D4"/>
    <mergeCell ref="E3:E4"/>
    <mergeCell ref="F3:F4"/>
    <mergeCell ref="G3:P3"/>
    <mergeCell ref="B5:C6"/>
    <mergeCell ref="D5:D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&amp;R15.交通・通信</oddHeader>
    <oddFooter>&amp;C-107-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84"/>
  <sheetViews>
    <sheetView showGridLines="0" workbookViewId="0" topLeftCell="A74">
      <selection activeCell="B107" sqref="B107"/>
    </sheetView>
  </sheetViews>
  <sheetFormatPr defaultColWidth="9.00390625" defaultRowHeight="13.5"/>
  <cols>
    <col min="1" max="2" width="3.625" style="53" customWidth="1"/>
    <col min="3" max="3" width="4.25390625" style="53" customWidth="1"/>
    <col min="4" max="4" width="5.625" style="53" customWidth="1"/>
    <col min="5" max="5" width="8.625" style="53" customWidth="1"/>
    <col min="6" max="6" width="5.625" style="53" customWidth="1"/>
    <col min="7" max="7" width="8.125" style="53" customWidth="1"/>
    <col min="8" max="8" width="5.125" style="53" customWidth="1"/>
    <col min="9" max="9" width="7.625" style="53" customWidth="1"/>
    <col min="10" max="10" width="5.125" style="53" customWidth="1"/>
    <col min="11" max="11" width="7.625" style="53" customWidth="1"/>
    <col min="12" max="12" width="5.125" style="53" customWidth="1"/>
    <col min="13" max="13" width="7.625" style="53" customWidth="1"/>
    <col min="14" max="14" width="5.125" style="53" customWidth="1"/>
    <col min="15" max="15" width="7.625" style="53" customWidth="1"/>
    <col min="16" max="16384" width="9.00390625" style="53" customWidth="1"/>
  </cols>
  <sheetData>
    <row r="1" spans="1:2" ht="30" customHeight="1">
      <c r="A1" s="1" t="s">
        <v>322</v>
      </c>
      <c r="B1" s="1"/>
    </row>
    <row r="2" spans="1:2" ht="18" customHeight="1">
      <c r="A2" s="53">
        <v>1</v>
      </c>
      <c r="B2" s="53" t="s">
        <v>323</v>
      </c>
    </row>
    <row r="3" spans="2:15" s="2" customFormat="1" ht="15" customHeight="1">
      <c r="B3" s="254" t="s">
        <v>1</v>
      </c>
      <c r="C3" s="254"/>
      <c r="D3" s="388" t="s">
        <v>324</v>
      </c>
      <c r="E3" s="389"/>
      <c r="F3" s="390" t="s">
        <v>325</v>
      </c>
      <c r="G3" s="391"/>
      <c r="H3" s="390" t="s">
        <v>326</v>
      </c>
      <c r="I3" s="391"/>
      <c r="J3" s="390" t="s">
        <v>327</v>
      </c>
      <c r="K3" s="391"/>
      <c r="L3" s="390" t="s">
        <v>328</v>
      </c>
      <c r="M3" s="391"/>
      <c r="N3" s="390" t="s">
        <v>329</v>
      </c>
      <c r="O3" s="391"/>
    </row>
    <row r="4" spans="2:15" s="2" customFormat="1" ht="15" customHeight="1">
      <c r="B4" s="254"/>
      <c r="C4" s="254"/>
      <c r="D4" s="392" t="s">
        <v>330</v>
      </c>
      <c r="E4" s="393" t="s">
        <v>331</v>
      </c>
      <c r="F4" s="392" t="s">
        <v>330</v>
      </c>
      <c r="G4" s="393" t="s">
        <v>331</v>
      </c>
      <c r="H4" s="394" t="s">
        <v>330</v>
      </c>
      <c r="I4" s="393" t="s">
        <v>331</v>
      </c>
      <c r="J4" s="394" t="s">
        <v>330</v>
      </c>
      <c r="K4" s="393" t="s">
        <v>331</v>
      </c>
      <c r="L4" s="394" t="s">
        <v>330</v>
      </c>
      <c r="M4" s="393" t="s">
        <v>331</v>
      </c>
      <c r="N4" s="394" t="s">
        <v>330</v>
      </c>
      <c r="O4" s="393" t="s">
        <v>331</v>
      </c>
    </row>
    <row r="5" spans="2:15" s="50" customFormat="1" ht="15" customHeight="1" hidden="1">
      <c r="B5" s="395" t="s">
        <v>19</v>
      </c>
      <c r="C5" s="395"/>
      <c r="D5" s="396">
        <f aca="true" t="shared" si="0" ref="D5:O5">SUM(D6:D7)</f>
        <v>4322</v>
      </c>
      <c r="E5" s="397">
        <f t="shared" si="0"/>
        <v>1296889</v>
      </c>
      <c r="F5" s="396">
        <f t="shared" si="0"/>
        <v>4002</v>
      </c>
      <c r="G5" s="397">
        <f t="shared" si="0"/>
        <v>391584</v>
      </c>
      <c r="H5" s="398">
        <f t="shared" si="0"/>
        <v>210</v>
      </c>
      <c r="I5" s="397">
        <f t="shared" si="0"/>
        <v>433646</v>
      </c>
      <c r="J5" s="398">
        <f t="shared" si="0"/>
        <v>97</v>
      </c>
      <c r="K5" s="397">
        <f t="shared" si="0"/>
        <v>339093</v>
      </c>
      <c r="L5" s="398">
        <f t="shared" si="0"/>
        <v>8</v>
      </c>
      <c r="M5" s="397">
        <f t="shared" si="0"/>
        <v>63918</v>
      </c>
      <c r="N5" s="398">
        <f t="shared" si="0"/>
        <v>5</v>
      </c>
      <c r="O5" s="397">
        <f t="shared" si="0"/>
        <v>68648</v>
      </c>
    </row>
    <row r="6" spans="2:15" s="50" customFormat="1" ht="15" customHeight="1" hidden="1">
      <c r="B6" s="399"/>
      <c r="C6" s="400" t="s">
        <v>332</v>
      </c>
      <c r="D6" s="401">
        <f>+F6+H6+J6+L6+N6</f>
        <v>4279</v>
      </c>
      <c r="E6" s="402">
        <f>+G6+I6+K6+M6+O6</f>
        <v>1065611</v>
      </c>
      <c r="F6" s="403">
        <f>3423+379+199</f>
        <v>4001</v>
      </c>
      <c r="G6" s="404">
        <f>104093+135106+151991</f>
        <v>391190</v>
      </c>
      <c r="H6" s="405">
        <v>194</v>
      </c>
      <c r="I6" s="406">
        <v>399660</v>
      </c>
      <c r="J6" s="405">
        <v>84</v>
      </c>
      <c r="K6" s="406">
        <v>274761</v>
      </c>
      <c r="L6" s="405">
        <v>0</v>
      </c>
      <c r="M6" s="406">
        <v>0</v>
      </c>
      <c r="N6" s="405">
        <v>0</v>
      </c>
      <c r="O6" s="406">
        <v>0</v>
      </c>
    </row>
    <row r="7" spans="2:15" s="50" customFormat="1" ht="15" customHeight="1" hidden="1">
      <c r="B7" s="407"/>
      <c r="C7" s="408" t="s">
        <v>333</v>
      </c>
      <c r="D7" s="409">
        <f>+F7+H7+J7+L7+N7</f>
        <v>43</v>
      </c>
      <c r="E7" s="410">
        <f>+G7+I7+K7+M7+O7</f>
        <v>231278</v>
      </c>
      <c r="F7" s="411">
        <v>1</v>
      </c>
      <c r="G7" s="412">
        <v>394</v>
      </c>
      <c r="H7" s="409">
        <v>16</v>
      </c>
      <c r="I7" s="410">
        <v>33986</v>
      </c>
      <c r="J7" s="409">
        <v>13</v>
      </c>
      <c r="K7" s="410">
        <v>64332</v>
      </c>
      <c r="L7" s="409">
        <v>8</v>
      </c>
      <c r="M7" s="410">
        <v>63918</v>
      </c>
      <c r="N7" s="409">
        <v>5</v>
      </c>
      <c r="O7" s="410">
        <v>68648</v>
      </c>
    </row>
    <row r="8" spans="2:15" s="50" customFormat="1" ht="15" customHeight="1" hidden="1">
      <c r="B8" s="395" t="s">
        <v>20</v>
      </c>
      <c r="C8" s="395"/>
      <c r="D8" s="396">
        <f aca="true" t="shared" si="1" ref="D8:O8">SUM(D9:D10)</f>
        <v>4146</v>
      </c>
      <c r="E8" s="397">
        <f t="shared" si="1"/>
        <v>1820609</v>
      </c>
      <c r="F8" s="396">
        <f t="shared" si="1"/>
        <v>3758</v>
      </c>
      <c r="G8" s="397">
        <f t="shared" si="1"/>
        <v>382132</v>
      </c>
      <c r="H8" s="398">
        <f t="shared" si="1"/>
        <v>285</v>
      </c>
      <c r="I8" s="397">
        <f t="shared" si="1"/>
        <v>568606</v>
      </c>
      <c r="J8" s="398">
        <f t="shared" si="1"/>
        <v>82</v>
      </c>
      <c r="K8" s="397">
        <f t="shared" si="1"/>
        <v>287540</v>
      </c>
      <c r="L8" s="398">
        <f t="shared" si="1"/>
        <v>12</v>
      </c>
      <c r="M8" s="397">
        <f t="shared" si="1"/>
        <v>98221</v>
      </c>
      <c r="N8" s="398">
        <f t="shared" si="1"/>
        <v>9</v>
      </c>
      <c r="O8" s="397">
        <f t="shared" si="1"/>
        <v>484110</v>
      </c>
    </row>
    <row r="9" spans="2:15" s="50" customFormat="1" ht="15" customHeight="1" hidden="1">
      <c r="B9" s="399"/>
      <c r="C9" s="400" t="s">
        <v>332</v>
      </c>
      <c r="D9" s="401">
        <f>+F9+H9+J9+L9+N9</f>
        <v>4104</v>
      </c>
      <c r="E9" s="402">
        <f>+G9+I9+K9+M9+O9</f>
        <v>1288260</v>
      </c>
      <c r="F9" s="403">
        <f>3186+356+216</f>
        <v>3758</v>
      </c>
      <c r="G9" s="404">
        <f>98248+118027+165857</f>
        <v>382132</v>
      </c>
      <c r="H9" s="405">
        <v>274</v>
      </c>
      <c r="I9" s="406">
        <v>546086</v>
      </c>
      <c r="J9" s="405">
        <v>70</v>
      </c>
      <c r="K9" s="406">
        <v>224994</v>
      </c>
      <c r="L9" s="405">
        <v>0</v>
      </c>
      <c r="M9" s="406">
        <v>0</v>
      </c>
      <c r="N9" s="405">
        <v>2</v>
      </c>
      <c r="O9" s="406">
        <v>135048</v>
      </c>
    </row>
    <row r="10" spans="2:15" s="50" customFormat="1" ht="15" customHeight="1" hidden="1">
      <c r="B10" s="407"/>
      <c r="C10" s="408" t="s">
        <v>333</v>
      </c>
      <c r="D10" s="409">
        <f>+F10+H10+J10+L10+N10</f>
        <v>42</v>
      </c>
      <c r="E10" s="410">
        <f>+G10+I10+K10+M10+O10</f>
        <v>532349</v>
      </c>
      <c r="F10" s="411">
        <v>0</v>
      </c>
      <c r="G10" s="412">
        <v>0</v>
      </c>
      <c r="H10" s="409">
        <v>11</v>
      </c>
      <c r="I10" s="410">
        <v>22520</v>
      </c>
      <c r="J10" s="409">
        <v>12</v>
      </c>
      <c r="K10" s="410">
        <v>62546</v>
      </c>
      <c r="L10" s="409">
        <v>12</v>
      </c>
      <c r="M10" s="410">
        <v>98221</v>
      </c>
      <c r="N10" s="409">
        <v>7</v>
      </c>
      <c r="O10" s="410">
        <v>349062</v>
      </c>
    </row>
    <row r="11" spans="2:15" s="50" customFormat="1" ht="15" customHeight="1" hidden="1">
      <c r="B11" s="395" t="s">
        <v>14</v>
      </c>
      <c r="C11" s="395"/>
      <c r="D11" s="396">
        <f aca="true" t="shared" si="2" ref="D11:O11">SUM(D12:D13)</f>
        <v>3538</v>
      </c>
      <c r="E11" s="397">
        <f t="shared" si="2"/>
        <v>1240116</v>
      </c>
      <c r="F11" s="396">
        <f t="shared" si="2"/>
        <v>3150</v>
      </c>
      <c r="G11" s="397">
        <f t="shared" si="2"/>
        <v>343946</v>
      </c>
      <c r="H11" s="398">
        <f t="shared" si="2"/>
        <v>326</v>
      </c>
      <c r="I11" s="397">
        <f t="shared" si="2"/>
        <v>623635</v>
      </c>
      <c r="J11" s="398">
        <f t="shared" si="2"/>
        <v>54</v>
      </c>
      <c r="K11" s="397">
        <f t="shared" si="2"/>
        <v>197522</v>
      </c>
      <c r="L11" s="398">
        <f t="shared" si="2"/>
        <v>3</v>
      </c>
      <c r="M11" s="397">
        <f t="shared" si="2"/>
        <v>22908</v>
      </c>
      <c r="N11" s="398">
        <f t="shared" si="2"/>
        <v>5</v>
      </c>
      <c r="O11" s="397">
        <f t="shared" si="2"/>
        <v>52105</v>
      </c>
    </row>
    <row r="12" spans="2:15" s="50" customFormat="1" ht="0.75" customHeight="1">
      <c r="B12" s="399"/>
      <c r="C12" s="400" t="s">
        <v>332</v>
      </c>
      <c r="D12" s="401">
        <f>+F12+H12+J12+L12+N12</f>
        <v>3491</v>
      </c>
      <c r="E12" s="402">
        <f>+G12+I12+K12+M12+O12</f>
        <v>1036465</v>
      </c>
      <c r="F12" s="403">
        <f>2622+301+226</f>
        <v>3149</v>
      </c>
      <c r="G12" s="404">
        <f>81998+87775+173917</f>
        <v>343690</v>
      </c>
      <c r="H12" s="405">
        <v>305</v>
      </c>
      <c r="I12" s="406">
        <v>572601</v>
      </c>
      <c r="J12" s="405">
        <v>37</v>
      </c>
      <c r="K12" s="406">
        <v>120174</v>
      </c>
      <c r="L12" s="405">
        <v>0</v>
      </c>
      <c r="M12" s="406">
        <v>0</v>
      </c>
      <c r="N12" s="405">
        <v>0</v>
      </c>
      <c r="O12" s="406">
        <v>0</v>
      </c>
    </row>
    <row r="13" spans="2:15" s="50" customFormat="1" ht="15" customHeight="1" hidden="1">
      <c r="B13" s="407"/>
      <c r="C13" s="408" t="s">
        <v>333</v>
      </c>
      <c r="D13" s="409">
        <f>+F13+H13+J13+L13+N13</f>
        <v>47</v>
      </c>
      <c r="E13" s="410">
        <f>+G13+I13+K13+M13+O13</f>
        <v>203651</v>
      </c>
      <c r="F13" s="411">
        <v>1</v>
      </c>
      <c r="G13" s="412">
        <v>256</v>
      </c>
      <c r="H13" s="409">
        <v>21</v>
      </c>
      <c r="I13" s="410">
        <v>51034</v>
      </c>
      <c r="J13" s="409">
        <v>17</v>
      </c>
      <c r="K13" s="410">
        <v>77348</v>
      </c>
      <c r="L13" s="409">
        <v>3</v>
      </c>
      <c r="M13" s="410">
        <v>22908</v>
      </c>
      <c r="N13" s="409">
        <v>5</v>
      </c>
      <c r="O13" s="410">
        <v>52105</v>
      </c>
    </row>
    <row r="14" spans="2:15" s="50" customFormat="1" ht="15" customHeight="1" hidden="1">
      <c r="B14" s="395" t="s">
        <v>15</v>
      </c>
      <c r="C14" s="395"/>
      <c r="D14" s="396">
        <f aca="true" t="shared" si="3" ref="D14:O14">SUM(D15:D16)</f>
        <v>3455</v>
      </c>
      <c r="E14" s="397">
        <f t="shared" si="3"/>
        <v>1285500</v>
      </c>
      <c r="F14" s="396">
        <f t="shared" si="3"/>
        <v>3052</v>
      </c>
      <c r="G14" s="397">
        <f t="shared" si="3"/>
        <v>301229</v>
      </c>
      <c r="H14" s="398">
        <f t="shared" si="3"/>
        <v>317</v>
      </c>
      <c r="I14" s="397">
        <f t="shared" si="3"/>
        <v>566602</v>
      </c>
      <c r="J14" s="398">
        <f t="shared" si="3"/>
        <v>71</v>
      </c>
      <c r="K14" s="397">
        <f t="shared" si="3"/>
        <v>254774</v>
      </c>
      <c r="L14" s="398">
        <f t="shared" si="3"/>
        <v>8</v>
      </c>
      <c r="M14" s="397">
        <f t="shared" si="3"/>
        <v>61856</v>
      </c>
      <c r="N14" s="398">
        <f t="shared" si="3"/>
        <v>7</v>
      </c>
      <c r="O14" s="397">
        <f t="shared" si="3"/>
        <v>101039</v>
      </c>
    </row>
    <row r="15" spans="2:15" s="50" customFormat="1" ht="15" customHeight="1" hidden="1">
      <c r="B15" s="399"/>
      <c r="C15" s="400" t="s">
        <v>332</v>
      </c>
      <c r="D15" s="401">
        <f>+F15+H15+J15+L15+N15</f>
        <v>3412</v>
      </c>
      <c r="E15" s="402">
        <f>+G15+I15+K15+M15+O15</f>
        <v>1058535</v>
      </c>
      <c r="F15" s="403">
        <f>2641+205+206</f>
        <v>3052</v>
      </c>
      <c r="G15" s="404">
        <f>80629+60775+159825</f>
        <v>301229</v>
      </c>
      <c r="H15" s="405">
        <v>304</v>
      </c>
      <c r="I15" s="406">
        <v>533828</v>
      </c>
      <c r="J15" s="405">
        <v>53</v>
      </c>
      <c r="K15" s="406">
        <v>176048</v>
      </c>
      <c r="L15" s="405">
        <v>0</v>
      </c>
      <c r="M15" s="406">
        <v>0</v>
      </c>
      <c r="N15" s="405">
        <v>3</v>
      </c>
      <c r="O15" s="406">
        <v>47430</v>
      </c>
    </row>
    <row r="16" spans="2:15" s="50" customFormat="1" ht="15" customHeight="1" hidden="1">
      <c r="B16" s="407"/>
      <c r="C16" s="408" t="s">
        <v>333</v>
      </c>
      <c r="D16" s="409">
        <f>+F16+H16+J16+L16+N16</f>
        <v>43</v>
      </c>
      <c r="E16" s="410">
        <f>+G16+I16+K16+M16+O16</f>
        <v>226965</v>
      </c>
      <c r="F16" s="411">
        <v>0</v>
      </c>
      <c r="G16" s="412">
        <v>0</v>
      </c>
      <c r="H16" s="409">
        <v>13</v>
      </c>
      <c r="I16" s="410">
        <v>32774</v>
      </c>
      <c r="J16" s="409">
        <v>18</v>
      </c>
      <c r="K16" s="410">
        <v>78726</v>
      </c>
      <c r="L16" s="409">
        <v>8</v>
      </c>
      <c r="M16" s="410">
        <v>61856</v>
      </c>
      <c r="N16" s="409">
        <v>4</v>
      </c>
      <c r="O16" s="410">
        <v>53609</v>
      </c>
    </row>
    <row r="17" spans="2:15" s="50" customFormat="1" ht="15" customHeight="1">
      <c r="B17" s="395" t="s">
        <v>16</v>
      </c>
      <c r="C17" s="395"/>
      <c r="D17" s="396">
        <f aca="true" t="shared" si="4" ref="D17:O17">SUM(D18:D19)</f>
        <v>3164</v>
      </c>
      <c r="E17" s="397">
        <f t="shared" si="4"/>
        <v>1356742</v>
      </c>
      <c r="F17" s="396">
        <f t="shared" si="4"/>
        <v>2782</v>
      </c>
      <c r="G17" s="397">
        <f t="shared" si="4"/>
        <v>289603</v>
      </c>
      <c r="H17" s="398">
        <f t="shared" si="4"/>
        <v>270</v>
      </c>
      <c r="I17" s="397">
        <f t="shared" si="4"/>
        <v>493537</v>
      </c>
      <c r="J17" s="398">
        <f t="shared" si="4"/>
        <v>94</v>
      </c>
      <c r="K17" s="397">
        <f t="shared" si="4"/>
        <v>349493</v>
      </c>
      <c r="L17" s="398">
        <f t="shared" si="4"/>
        <v>11</v>
      </c>
      <c r="M17" s="397">
        <f t="shared" si="4"/>
        <v>82604</v>
      </c>
      <c r="N17" s="398">
        <f t="shared" si="4"/>
        <v>7</v>
      </c>
      <c r="O17" s="397">
        <f t="shared" si="4"/>
        <v>141505</v>
      </c>
    </row>
    <row r="18" spans="2:15" s="50" customFormat="1" ht="15" customHeight="1" hidden="1">
      <c r="B18" s="399"/>
      <c r="C18" s="400" t="s">
        <v>332</v>
      </c>
      <c r="D18" s="401">
        <f>+F18+H18+J18+L18+N18</f>
        <v>3121</v>
      </c>
      <c r="E18" s="402">
        <f>+G18+I18+K18+M18+O18</f>
        <v>1121226</v>
      </c>
      <c r="F18" s="403">
        <f>2364+250+167</f>
        <v>2781</v>
      </c>
      <c r="G18" s="404">
        <f>75599+79082+134202</f>
        <v>288883</v>
      </c>
      <c r="H18" s="405">
        <v>261</v>
      </c>
      <c r="I18" s="406">
        <v>476680</v>
      </c>
      <c r="J18" s="405">
        <v>77</v>
      </c>
      <c r="K18" s="406">
        <v>283093</v>
      </c>
      <c r="L18" s="405">
        <v>0</v>
      </c>
      <c r="M18" s="406">
        <v>0</v>
      </c>
      <c r="N18" s="405">
        <v>2</v>
      </c>
      <c r="O18" s="406">
        <v>72570</v>
      </c>
    </row>
    <row r="19" spans="2:15" s="50" customFormat="1" ht="15" customHeight="1" hidden="1">
      <c r="B19" s="407"/>
      <c r="C19" s="408" t="s">
        <v>333</v>
      </c>
      <c r="D19" s="409">
        <f>+F19+H19+J19+L19+N19</f>
        <v>43</v>
      </c>
      <c r="E19" s="410">
        <f>+G19+I19+K19+M19+O19</f>
        <v>235516</v>
      </c>
      <c r="F19" s="411">
        <v>1</v>
      </c>
      <c r="G19" s="412">
        <v>720</v>
      </c>
      <c r="H19" s="409">
        <v>9</v>
      </c>
      <c r="I19" s="410">
        <v>16857</v>
      </c>
      <c r="J19" s="409">
        <v>17</v>
      </c>
      <c r="K19" s="410">
        <v>66400</v>
      </c>
      <c r="L19" s="409">
        <v>11</v>
      </c>
      <c r="M19" s="410">
        <v>82604</v>
      </c>
      <c r="N19" s="409">
        <v>5</v>
      </c>
      <c r="O19" s="410">
        <v>68935</v>
      </c>
    </row>
    <row r="20" spans="2:15" s="340" customFormat="1" ht="15" customHeight="1">
      <c r="B20" s="395" t="s">
        <v>12</v>
      </c>
      <c r="C20" s="395"/>
      <c r="D20" s="413">
        <f>SUM(D21:D22)</f>
        <v>3414</v>
      </c>
      <c r="E20" s="414">
        <f>SUM(E21:E22)</f>
        <v>1510395</v>
      </c>
      <c r="F20" s="415">
        <v>3037</v>
      </c>
      <c r="G20" s="416">
        <v>299918</v>
      </c>
      <c r="H20" s="417">
        <f aca="true" t="shared" si="5" ref="H20:O20">SUM(H21:H22)</f>
        <v>180</v>
      </c>
      <c r="I20" s="418">
        <f t="shared" si="5"/>
        <v>345329</v>
      </c>
      <c r="J20" s="417">
        <f t="shared" si="5"/>
        <v>184</v>
      </c>
      <c r="K20" s="418">
        <f t="shared" si="5"/>
        <v>730648</v>
      </c>
      <c r="L20" s="417">
        <f t="shared" si="5"/>
        <v>6</v>
      </c>
      <c r="M20" s="418">
        <f t="shared" si="5"/>
        <v>44579</v>
      </c>
      <c r="N20" s="417">
        <f t="shared" si="5"/>
        <v>7</v>
      </c>
      <c r="O20" s="418">
        <f t="shared" si="5"/>
        <v>89921</v>
      </c>
    </row>
    <row r="21" spans="2:15" s="50" customFormat="1" ht="15" customHeight="1" hidden="1">
      <c r="B21" s="399"/>
      <c r="C21" s="400" t="s">
        <v>332</v>
      </c>
      <c r="D21" s="419">
        <v>3368</v>
      </c>
      <c r="E21" s="406">
        <v>1298712</v>
      </c>
      <c r="F21" s="403">
        <v>3033</v>
      </c>
      <c r="G21" s="404">
        <v>296802</v>
      </c>
      <c r="H21" s="401">
        <v>166</v>
      </c>
      <c r="I21" s="402">
        <v>322664</v>
      </c>
      <c r="J21" s="401">
        <v>168</v>
      </c>
      <c r="K21" s="402">
        <v>657343</v>
      </c>
      <c r="L21" s="401">
        <v>0</v>
      </c>
      <c r="M21" s="402">
        <v>0</v>
      </c>
      <c r="N21" s="401">
        <v>1</v>
      </c>
      <c r="O21" s="402">
        <v>21903</v>
      </c>
    </row>
    <row r="22" spans="2:15" s="50" customFormat="1" ht="15" customHeight="1" hidden="1">
      <c r="B22" s="407"/>
      <c r="C22" s="408" t="s">
        <v>333</v>
      </c>
      <c r="D22" s="420">
        <v>46</v>
      </c>
      <c r="E22" s="410">
        <v>211683</v>
      </c>
      <c r="F22" s="411">
        <v>4</v>
      </c>
      <c r="G22" s="412">
        <v>3116</v>
      </c>
      <c r="H22" s="409">
        <v>14</v>
      </c>
      <c r="I22" s="410">
        <v>22665</v>
      </c>
      <c r="J22" s="409">
        <v>16</v>
      </c>
      <c r="K22" s="410">
        <v>73305</v>
      </c>
      <c r="L22" s="409">
        <v>6</v>
      </c>
      <c r="M22" s="410">
        <v>44579</v>
      </c>
      <c r="N22" s="409">
        <v>6</v>
      </c>
      <c r="O22" s="410">
        <v>68018</v>
      </c>
    </row>
    <row r="23" spans="2:15" s="340" customFormat="1" ht="15" customHeight="1">
      <c r="B23" s="421" t="s">
        <v>13</v>
      </c>
      <c r="C23" s="421"/>
      <c r="D23" s="413">
        <v>3055</v>
      </c>
      <c r="E23" s="414">
        <v>1508310</v>
      </c>
      <c r="F23" s="413">
        <v>2659</v>
      </c>
      <c r="G23" s="414">
        <v>291182</v>
      </c>
      <c r="H23" s="417">
        <v>220</v>
      </c>
      <c r="I23" s="418">
        <v>449394</v>
      </c>
      <c r="J23" s="417">
        <v>165</v>
      </c>
      <c r="K23" s="418">
        <v>654624</v>
      </c>
      <c r="L23" s="417">
        <v>5</v>
      </c>
      <c r="M23" s="418">
        <v>39959</v>
      </c>
      <c r="N23" s="417">
        <v>6</v>
      </c>
      <c r="O23" s="418">
        <v>73151</v>
      </c>
    </row>
    <row r="24" spans="2:15" s="50" customFormat="1" ht="15" customHeight="1" hidden="1">
      <c r="B24" s="399"/>
      <c r="C24" s="422" t="s">
        <v>332</v>
      </c>
      <c r="D24" s="419">
        <v>2977</v>
      </c>
      <c r="E24" s="406">
        <v>1216165</v>
      </c>
      <c r="F24" s="403">
        <v>2655</v>
      </c>
      <c r="G24" s="404">
        <v>287665</v>
      </c>
      <c r="H24" s="401">
        <v>181</v>
      </c>
      <c r="I24" s="402">
        <v>369358</v>
      </c>
      <c r="J24" s="401">
        <v>139</v>
      </c>
      <c r="K24" s="402">
        <v>543814</v>
      </c>
      <c r="L24" s="401">
        <v>2</v>
      </c>
      <c r="M24" s="402">
        <v>15328</v>
      </c>
      <c r="N24" s="401">
        <v>0</v>
      </c>
      <c r="O24" s="402">
        <v>0</v>
      </c>
    </row>
    <row r="25" spans="2:15" s="50" customFormat="1" ht="15" customHeight="1" hidden="1">
      <c r="B25" s="407"/>
      <c r="C25" s="408" t="s">
        <v>333</v>
      </c>
      <c r="D25" s="420">
        <v>78</v>
      </c>
      <c r="E25" s="410">
        <v>292145</v>
      </c>
      <c r="F25" s="411">
        <v>4</v>
      </c>
      <c r="G25" s="412">
        <v>3517</v>
      </c>
      <c r="H25" s="409">
        <v>39</v>
      </c>
      <c r="I25" s="410">
        <v>80036</v>
      </c>
      <c r="J25" s="409">
        <v>26</v>
      </c>
      <c r="K25" s="410">
        <v>110810</v>
      </c>
      <c r="L25" s="409">
        <v>3</v>
      </c>
      <c r="M25" s="410">
        <v>24631</v>
      </c>
      <c r="N25" s="409">
        <v>6</v>
      </c>
      <c r="O25" s="410">
        <v>73151</v>
      </c>
    </row>
    <row r="26" spans="2:15" s="340" customFormat="1" ht="15" customHeight="1">
      <c r="B26" s="421" t="s">
        <v>7</v>
      </c>
      <c r="C26" s="421"/>
      <c r="D26" s="413">
        <f aca="true" t="shared" si="6" ref="D26:O26">SUM(D27:D28)</f>
        <v>3105</v>
      </c>
      <c r="E26" s="414">
        <f t="shared" si="6"/>
        <v>1611129</v>
      </c>
      <c r="F26" s="413">
        <f t="shared" si="6"/>
        <v>2737</v>
      </c>
      <c r="G26" s="414">
        <f t="shared" si="6"/>
        <v>336373</v>
      </c>
      <c r="H26" s="417">
        <f t="shared" si="6"/>
        <v>156</v>
      </c>
      <c r="I26" s="418">
        <f t="shared" si="6"/>
        <v>341376</v>
      </c>
      <c r="J26" s="417">
        <f t="shared" si="6"/>
        <v>198</v>
      </c>
      <c r="K26" s="418">
        <f t="shared" si="6"/>
        <v>784079</v>
      </c>
      <c r="L26" s="417">
        <f t="shared" si="6"/>
        <v>11</v>
      </c>
      <c r="M26" s="418">
        <f t="shared" si="6"/>
        <v>85648</v>
      </c>
      <c r="N26" s="417">
        <f t="shared" si="6"/>
        <v>3</v>
      </c>
      <c r="O26" s="418">
        <f t="shared" si="6"/>
        <v>63653</v>
      </c>
    </row>
    <row r="27" spans="2:15" s="50" customFormat="1" ht="15" customHeight="1" hidden="1">
      <c r="B27" s="399"/>
      <c r="C27" s="422" t="s">
        <v>332</v>
      </c>
      <c r="D27" s="419">
        <v>3004</v>
      </c>
      <c r="E27" s="406">
        <v>1298627</v>
      </c>
      <c r="F27" s="403">
        <v>2728</v>
      </c>
      <c r="G27" s="404">
        <v>328694</v>
      </c>
      <c r="H27" s="401">
        <v>105</v>
      </c>
      <c r="I27" s="402">
        <v>248796</v>
      </c>
      <c r="J27" s="401">
        <v>161</v>
      </c>
      <c r="K27" s="402">
        <v>631227</v>
      </c>
      <c r="L27" s="401">
        <v>9</v>
      </c>
      <c r="M27" s="402">
        <v>66675</v>
      </c>
      <c r="N27" s="401">
        <v>1</v>
      </c>
      <c r="O27" s="402">
        <v>23235</v>
      </c>
    </row>
    <row r="28" spans="2:15" s="50" customFormat="1" ht="15" customHeight="1" hidden="1">
      <c r="B28" s="407"/>
      <c r="C28" s="408" t="s">
        <v>333</v>
      </c>
      <c r="D28" s="420">
        <v>101</v>
      </c>
      <c r="E28" s="410">
        <v>312502</v>
      </c>
      <c r="F28" s="411">
        <v>9</v>
      </c>
      <c r="G28" s="412">
        <v>7679</v>
      </c>
      <c r="H28" s="409">
        <v>51</v>
      </c>
      <c r="I28" s="410">
        <v>92580</v>
      </c>
      <c r="J28" s="409">
        <v>37</v>
      </c>
      <c r="K28" s="410">
        <v>152852</v>
      </c>
      <c r="L28" s="409">
        <v>2</v>
      </c>
      <c r="M28" s="410">
        <v>18973</v>
      </c>
      <c r="N28" s="409">
        <v>2</v>
      </c>
      <c r="O28" s="410">
        <v>40418</v>
      </c>
    </row>
    <row r="29" spans="2:15" s="340" customFormat="1" ht="15" customHeight="1">
      <c r="B29" s="421" t="s">
        <v>17</v>
      </c>
      <c r="C29" s="421"/>
      <c r="D29" s="413">
        <f aca="true" t="shared" si="7" ref="D29:O29">SUM(D30:D31)</f>
        <v>3308</v>
      </c>
      <c r="E29" s="414">
        <f t="shared" si="7"/>
        <v>2022004</v>
      </c>
      <c r="F29" s="413">
        <f t="shared" si="7"/>
        <v>2810</v>
      </c>
      <c r="G29" s="414">
        <f t="shared" si="7"/>
        <v>326157</v>
      </c>
      <c r="H29" s="417">
        <f t="shared" si="7"/>
        <v>261</v>
      </c>
      <c r="I29" s="418">
        <f t="shared" si="7"/>
        <v>585655</v>
      </c>
      <c r="J29" s="417">
        <f t="shared" si="7"/>
        <v>223</v>
      </c>
      <c r="K29" s="418">
        <f t="shared" si="7"/>
        <v>881507</v>
      </c>
      <c r="L29" s="417">
        <f t="shared" si="7"/>
        <v>3</v>
      </c>
      <c r="M29" s="418">
        <f t="shared" si="7"/>
        <v>28073</v>
      </c>
      <c r="N29" s="417">
        <f t="shared" si="7"/>
        <v>11</v>
      </c>
      <c r="O29" s="418">
        <f t="shared" si="7"/>
        <v>200612</v>
      </c>
    </row>
    <row r="30" spans="2:15" s="50" customFormat="1" ht="15" customHeight="1" hidden="1">
      <c r="B30" s="399"/>
      <c r="C30" s="422" t="s">
        <v>332</v>
      </c>
      <c r="D30" s="419">
        <f>+F30+H30+J30+L30+N30</f>
        <v>3116</v>
      </c>
      <c r="E30" s="406">
        <f>+G30+I30+K30+M30+O30</f>
        <v>1409327</v>
      </c>
      <c r="F30" s="403">
        <v>2800</v>
      </c>
      <c r="G30" s="404">
        <v>317130</v>
      </c>
      <c r="H30" s="401">
        <v>149</v>
      </c>
      <c r="I30" s="402">
        <v>362255</v>
      </c>
      <c r="J30" s="401">
        <v>165</v>
      </c>
      <c r="K30" s="402">
        <v>652757</v>
      </c>
      <c r="L30" s="401">
        <v>0</v>
      </c>
      <c r="M30" s="402">
        <v>0</v>
      </c>
      <c r="N30" s="401">
        <v>2</v>
      </c>
      <c r="O30" s="402">
        <v>77185</v>
      </c>
    </row>
    <row r="31" spans="2:15" s="50" customFormat="1" ht="15" customHeight="1" hidden="1">
      <c r="B31" s="407"/>
      <c r="C31" s="408" t="s">
        <v>333</v>
      </c>
      <c r="D31" s="420">
        <f>+F31+H31+J31+L31+N31</f>
        <v>192</v>
      </c>
      <c r="E31" s="410">
        <f>+G31+I31+K31+M31+O31</f>
        <v>612677</v>
      </c>
      <c r="F31" s="411">
        <v>10</v>
      </c>
      <c r="G31" s="412">
        <v>9027</v>
      </c>
      <c r="H31" s="409">
        <v>112</v>
      </c>
      <c r="I31" s="410">
        <v>223400</v>
      </c>
      <c r="J31" s="409">
        <v>58</v>
      </c>
      <c r="K31" s="410">
        <v>228750</v>
      </c>
      <c r="L31" s="409">
        <v>3</v>
      </c>
      <c r="M31" s="410">
        <v>28073</v>
      </c>
      <c r="N31" s="409">
        <v>9</v>
      </c>
      <c r="O31" s="410">
        <v>123427</v>
      </c>
    </row>
    <row r="32" spans="2:15" s="340" customFormat="1" ht="15" customHeight="1">
      <c r="B32" s="395" t="s">
        <v>24</v>
      </c>
      <c r="C32" s="395"/>
      <c r="D32" s="413">
        <f aca="true" t="shared" si="8" ref="D32:O32">SUM(D33:D34)</f>
        <v>3307</v>
      </c>
      <c r="E32" s="414">
        <f t="shared" si="8"/>
        <v>2069321</v>
      </c>
      <c r="F32" s="413">
        <f t="shared" si="8"/>
        <v>2785</v>
      </c>
      <c r="G32" s="414">
        <f t="shared" si="8"/>
        <v>282833</v>
      </c>
      <c r="H32" s="423">
        <f t="shared" si="8"/>
        <v>275</v>
      </c>
      <c r="I32" s="414">
        <f t="shared" si="8"/>
        <v>612154</v>
      </c>
      <c r="J32" s="423">
        <f t="shared" si="8"/>
        <v>230</v>
      </c>
      <c r="K32" s="414">
        <f t="shared" si="8"/>
        <v>896365</v>
      </c>
      <c r="L32" s="423">
        <f t="shared" si="8"/>
        <v>2</v>
      </c>
      <c r="M32" s="414">
        <f t="shared" si="8"/>
        <v>14582</v>
      </c>
      <c r="N32" s="423">
        <f t="shared" si="8"/>
        <v>15</v>
      </c>
      <c r="O32" s="414">
        <f t="shared" si="8"/>
        <v>263387</v>
      </c>
    </row>
    <row r="33" spans="2:15" s="50" customFormat="1" ht="15" customHeight="1" hidden="1">
      <c r="B33" s="399"/>
      <c r="C33" s="400" t="s">
        <v>332</v>
      </c>
      <c r="D33" s="419">
        <f>+F33+H33+J33+L33+N33</f>
        <v>3099</v>
      </c>
      <c r="E33" s="406">
        <f>+G33+I33+K33+M33+O33</f>
        <v>1391700</v>
      </c>
      <c r="F33" s="403">
        <v>2776</v>
      </c>
      <c r="G33" s="404">
        <v>278027</v>
      </c>
      <c r="H33" s="405">
        <v>148</v>
      </c>
      <c r="I33" s="406">
        <v>357024</v>
      </c>
      <c r="J33" s="405">
        <v>173</v>
      </c>
      <c r="K33" s="406">
        <v>679989</v>
      </c>
      <c r="L33" s="405">
        <v>0</v>
      </c>
      <c r="M33" s="406">
        <v>0</v>
      </c>
      <c r="N33" s="405">
        <v>2</v>
      </c>
      <c r="O33" s="406">
        <v>76660</v>
      </c>
    </row>
    <row r="34" spans="2:15" s="50" customFormat="1" ht="15" customHeight="1" hidden="1">
      <c r="B34" s="407"/>
      <c r="C34" s="408" t="s">
        <v>333</v>
      </c>
      <c r="D34" s="420">
        <f>+F34+H34+J34+L34+N34</f>
        <v>208</v>
      </c>
      <c r="E34" s="410">
        <f>+G34+I34+K34+M34+O34</f>
        <v>677621</v>
      </c>
      <c r="F34" s="411">
        <v>9</v>
      </c>
      <c r="G34" s="412">
        <v>4806</v>
      </c>
      <c r="H34" s="409">
        <v>127</v>
      </c>
      <c r="I34" s="410">
        <v>255130</v>
      </c>
      <c r="J34" s="409">
        <v>57</v>
      </c>
      <c r="K34" s="410">
        <v>216376</v>
      </c>
      <c r="L34" s="409">
        <v>2</v>
      </c>
      <c r="M34" s="410">
        <v>14582</v>
      </c>
      <c r="N34" s="409">
        <v>13</v>
      </c>
      <c r="O34" s="410">
        <v>186727</v>
      </c>
    </row>
    <row r="35" spans="2:15" s="340" customFormat="1" ht="15" customHeight="1">
      <c r="B35" s="395" t="s">
        <v>25</v>
      </c>
      <c r="C35" s="395"/>
      <c r="D35" s="413">
        <f aca="true" t="shared" si="9" ref="D35:O35">SUM(D36:D37)</f>
        <v>3109</v>
      </c>
      <c r="E35" s="414">
        <f t="shared" si="9"/>
        <v>1990309</v>
      </c>
      <c r="F35" s="413">
        <f t="shared" si="9"/>
        <v>2586</v>
      </c>
      <c r="G35" s="414">
        <f t="shared" si="9"/>
        <v>298232</v>
      </c>
      <c r="H35" s="423">
        <f t="shared" si="9"/>
        <v>268</v>
      </c>
      <c r="I35" s="414">
        <f t="shared" si="9"/>
        <v>593705</v>
      </c>
      <c r="J35" s="423">
        <f t="shared" si="9"/>
        <v>243</v>
      </c>
      <c r="K35" s="414">
        <f t="shared" si="9"/>
        <v>950552</v>
      </c>
      <c r="L35" s="423">
        <f t="shared" si="9"/>
        <v>3</v>
      </c>
      <c r="M35" s="414">
        <f t="shared" si="9"/>
        <v>25205</v>
      </c>
      <c r="N35" s="423">
        <f t="shared" si="9"/>
        <v>9</v>
      </c>
      <c r="O35" s="414">
        <f t="shared" si="9"/>
        <v>122615</v>
      </c>
    </row>
    <row r="36" spans="2:15" s="50" customFormat="1" ht="15" customHeight="1" hidden="1">
      <c r="B36" s="399"/>
      <c r="C36" s="400" t="s">
        <v>332</v>
      </c>
      <c r="D36" s="419">
        <f>+F36+H36+J36+L36+N36</f>
        <v>2905</v>
      </c>
      <c r="E36" s="406">
        <f>+G36+I36+K36+M36+O36</f>
        <v>1311836</v>
      </c>
      <c r="F36" s="403">
        <f>2141+240+202</f>
        <v>2583</v>
      </c>
      <c r="G36" s="404">
        <f>63584+85096+146899</f>
        <v>295579</v>
      </c>
      <c r="H36" s="405">
        <v>154</v>
      </c>
      <c r="I36" s="406">
        <v>369743</v>
      </c>
      <c r="J36" s="405">
        <v>168</v>
      </c>
      <c r="K36" s="406">
        <v>646514</v>
      </c>
      <c r="L36" s="405">
        <v>0</v>
      </c>
      <c r="M36" s="406">
        <v>0</v>
      </c>
      <c r="N36" s="405">
        <v>0</v>
      </c>
      <c r="O36" s="406">
        <v>0</v>
      </c>
    </row>
    <row r="37" spans="2:15" s="50" customFormat="1" ht="15" customHeight="1" hidden="1">
      <c r="B37" s="407"/>
      <c r="C37" s="408" t="s">
        <v>333</v>
      </c>
      <c r="D37" s="420">
        <f>+F37+H37+J37+L37+N37</f>
        <v>204</v>
      </c>
      <c r="E37" s="410">
        <f>+G37+I37+K37+M37+O37</f>
        <v>678473</v>
      </c>
      <c r="F37" s="411">
        <v>3</v>
      </c>
      <c r="G37" s="412">
        <v>2653</v>
      </c>
      <c r="H37" s="409">
        <v>114</v>
      </c>
      <c r="I37" s="410">
        <v>223962</v>
      </c>
      <c r="J37" s="409">
        <v>75</v>
      </c>
      <c r="K37" s="410">
        <v>304038</v>
      </c>
      <c r="L37" s="409">
        <v>3</v>
      </c>
      <c r="M37" s="410">
        <v>25205</v>
      </c>
      <c r="N37" s="409">
        <v>9</v>
      </c>
      <c r="O37" s="410">
        <v>122615</v>
      </c>
    </row>
    <row r="38" spans="2:15" s="340" customFormat="1" ht="15" customHeight="1">
      <c r="B38" s="395" t="s">
        <v>26</v>
      </c>
      <c r="C38" s="395"/>
      <c r="D38" s="413">
        <f aca="true" t="shared" si="10" ref="D38:O38">SUM(D39:D40)</f>
        <v>2749</v>
      </c>
      <c r="E38" s="414">
        <f t="shared" si="10"/>
        <v>1511314</v>
      </c>
      <c r="F38" s="413">
        <f t="shared" si="10"/>
        <v>2340</v>
      </c>
      <c r="G38" s="414">
        <f t="shared" si="10"/>
        <v>236016</v>
      </c>
      <c r="H38" s="423">
        <f t="shared" si="10"/>
        <v>227</v>
      </c>
      <c r="I38" s="414">
        <f t="shared" si="10"/>
        <v>505386</v>
      </c>
      <c r="J38" s="423">
        <f t="shared" si="10"/>
        <v>176</v>
      </c>
      <c r="K38" s="414">
        <f t="shared" si="10"/>
        <v>693675</v>
      </c>
      <c r="L38" s="423">
        <f t="shared" si="10"/>
        <v>3</v>
      </c>
      <c r="M38" s="414">
        <f t="shared" si="10"/>
        <v>26010</v>
      </c>
      <c r="N38" s="423">
        <f t="shared" si="10"/>
        <v>3</v>
      </c>
      <c r="O38" s="414">
        <f t="shared" si="10"/>
        <v>50227</v>
      </c>
    </row>
    <row r="39" spans="2:15" s="50" customFormat="1" ht="15" customHeight="1" hidden="1">
      <c r="B39" s="399"/>
      <c r="C39" s="400" t="s">
        <v>332</v>
      </c>
      <c r="D39" s="419">
        <f>+F39+H39+J39+L39+N39</f>
        <v>2637</v>
      </c>
      <c r="E39" s="406">
        <f>+G39+I39+K39+M39+O39</f>
        <v>1199367</v>
      </c>
      <c r="F39" s="403">
        <v>2337</v>
      </c>
      <c r="G39" s="404">
        <v>233950</v>
      </c>
      <c r="H39" s="405">
        <v>151</v>
      </c>
      <c r="I39" s="406">
        <v>366671</v>
      </c>
      <c r="J39" s="405">
        <v>147</v>
      </c>
      <c r="K39" s="406">
        <v>569179</v>
      </c>
      <c r="L39" s="405">
        <v>1</v>
      </c>
      <c r="M39" s="406">
        <v>7664</v>
      </c>
      <c r="N39" s="405">
        <v>1</v>
      </c>
      <c r="O39" s="406">
        <v>21903</v>
      </c>
    </row>
    <row r="40" spans="2:15" s="50" customFormat="1" ht="15" customHeight="1" hidden="1">
      <c r="B40" s="407"/>
      <c r="C40" s="408" t="s">
        <v>333</v>
      </c>
      <c r="D40" s="420">
        <f>+F40+H40+J40+L40+N40</f>
        <v>112</v>
      </c>
      <c r="E40" s="410">
        <f>+G40+I40+K40+M40+O40</f>
        <v>311947</v>
      </c>
      <c r="F40" s="411">
        <v>3</v>
      </c>
      <c r="G40" s="412">
        <v>2066</v>
      </c>
      <c r="H40" s="409">
        <v>76</v>
      </c>
      <c r="I40" s="410">
        <v>138715</v>
      </c>
      <c r="J40" s="409">
        <v>29</v>
      </c>
      <c r="K40" s="410">
        <v>124496</v>
      </c>
      <c r="L40" s="409">
        <v>2</v>
      </c>
      <c r="M40" s="410">
        <v>18346</v>
      </c>
      <c r="N40" s="409">
        <v>2</v>
      </c>
      <c r="O40" s="410">
        <v>28324</v>
      </c>
    </row>
    <row r="41" spans="2:15" s="340" customFormat="1" ht="15" customHeight="1">
      <c r="B41" s="395" t="s">
        <v>29</v>
      </c>
      <c r="C41" s="395"/>
      <c r="D41" s="424">
        <f aca="true" t="shared" si="11" ref="D41:O41">SUM(D42:D43)</f>
        <v>2710</v>
      </c>
      <c r="E41" s="425">
        <f t="shared" si="11"/>
        <v>1637943</v>
      </c>
      <c r="F41" s="424">
        <f t="shared" si="11"/>
        <v>2269</v>
      </c>
      <c r="G41" s="425">
        <f t="shared" si="11"/>
        <v>231875</v>
      </c>
      <c r="H41" s="417">
        <f t="shared" si="11"/>
        <v>229</v>
      </c>
      <c r="I41" s="418">
        <f t="shared" si="11"/>
        <v>499550</v>
      </c>
      <c r="J41" s="417">
        <f t="shared" si="11"/>
        <v>203</v>
      </c>
      <c r="K41" s="418">
        <f t="shared" si="11"/>
        <v>786627</v>
      </c>
      <c r="L41" s="417">
        <f t="shared" si="11"/>
        <v>3</v>
      </c>
      <c r="M41" s="418">
        <f t="shared" si="11"/>
        <v>28785</v>
      </c>
      <c r="N41" s="417">
        <f t="shared" si="11"/>
        <v>6</v>
      </c>
      <c r="O41" s="418">
        <f t="shared" si="11"/>
        <v>91106</v>
      </c>
    </row>
    <row r="42" spans="2:15" s="50" customFormat="1" ht="15" customHeight="1">
      <c r="B42" s="399"/>
      <c r="C42" s="400" t="s">
        <v>332</v>
      </c>
      <c r="D42" s="426">
        <f>+F42+H42+J42+L42+N42</f>
        <v>2601</v>
      </c>
      <c r="E42" s="402">
        <f>+G42+I42+K42+M42+O42</f>
        <v>1238604</v>
      </c>
      <c r="F42" s="427">
        <v>2269</v>
      </c>
      <c r="G42" s="428">
        <v>231875</v>
      </c>
      <c r="H42" s="401">
        <v>161</v>
      </c>
      <c r="I42" s="402">
        <v>351309</v>
      </c>
      <c r="J42" s="401">
        <v>171</v>
      </c>
      <c r="K42" s="402">
        <v>655420</v>
      </c>
      <c r="L42" s="401">
        <v>0</v>
      </c>
      <c r="M42" s="402">
        <v>0</v>
      </c>
      <c r="N42" s="401">
        <v>0</v>
      </c>
      <c r="O42" s="402">
        <v>0</v>
      </c>
    </row>
    <row r="43" spans="2:15" s="50" customFormat="1" ht="15" customHeight="1">
      <c r="B43" s="407"/>
      <c r="C43" s="408" t="s">
        <v>333</v>
      </c>
      <c r="D43" s="420">
        <f>+F43+H43+J43+L43+N43</f>
        <v>109</v>
      </c>
      <c r="E43" s="410">
        <f>+G43+I43+K43+M43+O43</f>
        <v>399339</v>
      </c>
      <c r="F43" s="411">
        <v>0</v>
      </c>
      <c r="G43" s="412">
        <v>0</v>
      </c>
      <c r="H43" s="409">
        <v>68</v>
      </c>
      <c r="I43" s="410">
        <v>148241</v>
      </c>
      <c r="J43" s="409">
        <v>32</v>
      </c>
      <c r="K43" s="410">
        <v>131207</v>
      </c>
      <c r="L43" s="409">
        <v>3</v>
      </c>
      <c r="M43" s="410">
        <v>28785</v>
      </c>
      <c r="N43" s="409">
        <v>6</v>
      </c>
      <c r="O43" s="410">
        <v>91106</v>
      </c>
    </row>
    <row r="44" spans="2:15" s="340" customFormat="1" ht="15" customHeight="1">
      <c r="B44" s="395" t="s">
        <v>30</v>
      </c>
      <c r="C44" s="395"/>
      <c r="D44" s="424">
        <f aca="true" t="shared" si="12" ref="D44:O44">SUM(D45:D46)</f>
        <v>2678</v>
      </c>
      <c r="E44" s="425">
        <f t="shared" si="12"/>
        <v>1578325</v>
      </c>
      <c r="F44" s="424">
        <f t="shared" si="12"/>
        <v>2269</v>
      </c>
      <c r="G44" s="425">
        <f t="shared" si="12"/>
        <v>216528</v>
      </c>
      <c r="H44" s="417">
        <f t="shared" si="12"/>
        <v>181</v>
      </c>
      <c r="I44" s="418">
        <f t="shared" si="12"/>
        <v>414785</v>
      </c>
      <c r="J44" s="417">
        <f t="shared" si="12"/>
        <v>219</v>
      </c>
      <c r="K44" s="418">
        <f t="shared" si="12"/>
        <v>842080</v>
      </c>
      <c r="L44" s="417">
        <f t="shared" si="12"/>
        <v>4</v>
      </c>
      <c r="M44" s="418">
        <f t="shared" si="12"/>
        <v>36370</v>
      </c>
      <c r="N44" s="417">
        <f t="shared" si="12"/>
        <v>5</v>
      </c>
      <c r="O44" s="418">
        <f t="shared" si="12"/>
        <v>68562</v>
      </c>
    </row>
    <row r="45" spans="2:15" s="50" customFormat="1" ht="15" customHeight="1">
      <c r="B45" s="399"/>
      <c r="C45" s="400" t="s">
        <v>332</v>
      </c>
      <c r="D45" s="426">
        <f>+F45+H45+J45+L45+N45</f>
        <v>2584</v>
      </c>
      <c r="E45" s="402">
        <f>+G45+I45+K45+M45+O45</f>
        <v>1213529</v>
      </c>
      <c r="F45" s="427">
        <v>2267</v>
      </c>
      <c r="G45" s="428">
        <v>214783</v>
      </c>
      <c r="H45" s="401">
        <v>136</v>
      </c>
      <c r="I45" s="402">
        <v>317202</v>
      </c>
      <c r="J45" s="401">
        <v>181</v>
      </c>
      <c r="K45" s="402">
        <v>681544</v>
      </c>
      <c r="L45" s="401">
        <v>0</v>
      </c>
      <c r="M45" s="402">
        <v>0</v>
      </c>
      <c r="N45" s="401">
        <v>0</v>
      </c>
      <c r="O45" s="402">
        <v>0</v>
      </c>
    </row>
    <row r="46" spans="2:15" s="50" customFormat="1" ht="15" customHeight="1">
      <c r="B46" s="407"/>
      <c r="C46" s="408" t="s">
        <v>333</v>
      </c>
      <c r="D46" s="420">
        <f>+F46+H46+J46+L46+N46</f>
        <v>94</v>
      </c>
      <c r="E46" s="410">
        <f>+G46+I46+K46+M46+O46</f>
        <v>364796</v>
      </c>
      <c r="F46" s="411">
        <v>2</v>
      </c>
      <c r="G46" s="412">
        <v>1745</v>
      </c>
      <c r="H46" s="409">
        <v>45</v>
      </c>
      <c r="I46" s="410">
        <v>97583</v>
      </c>
      <c r="J46" s="409">
        <v>38</v>
      </c>
      <c r="K46" s="410">
        <v>160536</v>
      </c>
      <c r="L46" s="409">
        <v>4</v>
      </c>
      <c r="M46" s="410">
        <v>36370</v>
      </c>
      <c r="N46" s="409">
        <v>5</v>
      </c>
      <c r="O46" s="410">
        <v>68562</v>
      </c>
    </row>
    <row r="47" spans="2:15" s="340" customFormat="1" ht="15" customHeight="1">
      <c r="B47" s="395" t="s">
        <v>32</v>
      </c>
      <c r="C47" s="395"/>
      <c r="D47" s="424">
        <f aca="true" t="shared" si="13" ref="D47:O47">SUM(D48:D49)</f>
        <v>2528</v>
      </c>
      <c r="E47" s="425">
        <f t="shared" si="13"/>
        <v>1569395</v>
      </c>
      <c r="F47" s="424">
        <f t="shared" si="13"/>
        <v>2141</v>
      </c>
      <c r="G47" s="425">
        <f t="shared" si="13"/>
        <v>209483</v>
      </c>
      <c r="H47" s="417">
        <f t="shared" si="13"/>
        <v>135</v>
      </c>
      <c r="I47" s="418">
        <f t="shared" si="13"/>
        <v>320662</v>
      </c>
      <c r="J47" s="417">
        <f t="shared" si="13"/>
        <v>245</v>
      </c>
      <c r="K47" s="418">
        <f t="shared" si="13"/>
        <v>977838</v>
      </c>
      <c r="L47" s="417">
        <f t="shared" si="13"/>
        <v>4</v>
      </c>
      <c r="M47" s="418">
        <f t="shared" si="13"/>
        <v>26396</v>
      </c>
      <c r="N47" s="417">
        <f t="shared" si="13"/>
        <v>3</v>
      </c>
      <c r="O47" s="418">
        <f t="shared" si="13"/>
        <v>35016</v>
      </c>
    </row>
    <row r="48" spans="2:15" s="50" customFormat="1" ht="15" customHeight="1">
      <c r="B48" s="399"/>
      <c r="C48" s="400" t="s">
        <v>332</v>
      </c>
      <c r="D48" s="426">
        <f>+F48+H48+J48+L48+N48</f>
        <v>2420</v>
      </c>
      <c r="E48" s="402">
        <f>+G48+I48+K48+M48+O48</f>
        <v>1207020</v>
      </c>
      <c r="F48" s="427">
        <v>2138</v>
      </c>
      <c r="G48" s="428">
        <v>207396</v>
      </c>
      <c r="H48" s="401">
        <v>78</v>
      </c>
      <c r="I48" s="402">
        <v>217488</v>
      </c>
      <c r="J48" s="401">
        <v>204</v>
      </c>
      <c r="K48" s="402">
        <v>782136</v>
      </c>
      <c r="L48" s="401">
        <v>0</v>
      </c>
      <c r="M48" s="402">
        <v>0</v>
      </c>
      <c r="N48" s="401">
        <v>0</v>
      </c>
      <c r="O48" s="402">
        <v>0</v>
      </c>
    </row>
    <row r="49" spans="2:15" s="50" customFormat="1" ht="15" customHeight="1">
      <c r="B49" s="407"/>
      <c r="C49" s="408" t="s">
        <v>333</v>
      </c>
      <c r="D49" s="420">
        <f>+F49+H49+J49+L49+N49</f>
        <v>108</v>
      </c>
      <c r="E49" s="410">
        <f>+G49+I49+K49+M49+O49</f>
        <v>362375</v>
      </c>
      <c r="F49" s="411">
        <v>3</v>
      </c>
      <c r="G49" s="412">
        <v>2087</v>
      </c>
      <c r="H49" s="409">
        <v>57</v>
      </c>
      <c r="I49" s="410">
        <v>103174</v>
      </c>
      <c r="J49" s="409">
        <v>41</v>
      </c>
      <c r="K49" s="410">
        <v>195702</v>
      </c>
      <c r="L49" s="409">
        <v>4</v>
      </c>
      <c r="M49" s="410">
        <v>26396</v>
      </c>
      <c r="N49" s="409">
        <v>3</v>
      </c>
      <c r="O49" s="410">
        <v>35016</v>
      </c>
    </row>
    <row r="50" spans="2:15" s="340" customFormat="1" ht="15" customHeight="1">
      <c r="B50" s="395" t="s">
        <v>33</v>
      </c>
      <c r="C50" s="395"/>
      <c r="D50" s="424">
        <f aca="true" t="shared" si="14" ref="D50:O50">SUM(D51:D52)</f>
        <v>2557</v>
      </c>
      <c r="E50" s="425">
        <f t="shared" si="14"/>
        <v>1603616</v>
      </c>
      <c r="F50" s="424">
        <f t="shared" si="14"/>
        <v>2171</v>
      </c>
      <c r="G50" s="425">
        <f t="shared" si="14"/>
        <v>197210</v>
      </c>
      <c r="H50" s="417">
        <f t="shared" si="14"/>
        <v>138</v>
      </c>
      <c r="I50" s="418">
        <f t="shared" si="14"/>
        <v>302429</v>
      </c>
      <c r="J50" s="417">
        <f t="shared" si="14"/>
        <v>234</v>
      </c>
      <c r="K50" s="418">
        <f t="shared" si="14"/>
        <v>965172</v>
      </c>
      <c r="L50" s="417">
        <f t="shared" si="14"/>
        <v>8</v>
      </c>
      <c r="M50" s="418">
        <f t="shared" si="14"/>
        <v>52792</v>
      </c>
      <c r="N50" s="417">
        <f t="shared" si="14"/>
        <v>6</v>
      </c>
      <c r="O50" s="418">
        <f t="shared" si="14"/>
        <v>86013</v>
      </c>
    </row>
    <row r="51" spans="2:15" s="50" customFormat="1" ht="15" customHeight="1">
      <c r="B51" s="399"/>
      <c r="C51" s="400" t="s">
        <v>332</v>
      </c>
      <c r="D51" s="426">
        <f>+F51+H51+J51+L51+N51</f>
        <v>2449</v>
      </c>
      <c r="E51" s="402">
        <f>+G51+I51+K51+M51+O51</f>
        <v>1208317</v>
      </c>
      <c r="F51" s="427">
        <v>2171</v>
      </c>
      <c r="G51" s="428">
        <v>197210</v>
      </c>
      <c r="H51" s="401">
        <v>83</v>
      </c>
      <c r="I51" s="402">
        <v>208099</v>
      </c>
      <c r="J51" s="401">
        <v>194</v>
      </c>
      <c r="K51" s="402">
        <v>776414</v>
      </c>
      <c r="L51" s="401">
        <v>0</v>
      </c>
      <c r="M51" s="402">
        <v>0</v>
      </c>
      <c r="N51" s="401">
        <v>1</v>
      </c>
      <c r="O51" s="402">
        <v>26594</v>
      </c>
    </row>
    <row r="52" spans="2:15" s="50" customFormat="1" ht="15" customHeight="1">
      <c r="B52" s="407"/>
      <c r="C52" s="408" t="s">
        <v>333</v>
      </c>
      <c r="D52" s="420">
        <f>+F52+H52+J52+L52+N52</f>
        <v>108</v>
      </c>
      <c r="E52" s="410">
        <f>+G52+I52+K52+M52+O52</f>
        <v>395299</v>
      </c>
      <c r="F52" s="411">
        <v>0</v>
      </c>
      <c r="G52" s="412">
        <v>0</v>
      </c>
      <c r="H52" s="409">
        <v>55</v>
      </c>
      <c r="I52" s="410">
        <v>94330</v>
      </c>
      <c r="J52" s="409">
        <v>40</v>
      </c>
      <c r="K52" s="410">
        <v>188758</v>
      </c>
      <c r="L52" s="409">
        <v>8</v>
      </c>
      <c r="M52" s="410">
        <v>52792</v>
      </c>
      <c r="N52" s="409">
        <v>5</v>
      </c>
      <c r="O52" s="410">
        <v>59419</v>
      </c>
    </row>
    <row r="53" spans="2:15" s="340" customFormat="1" ht="15" customHeight="1">
      <c r="B53" s="395" t="s">
        <v>34</v>
      </c>
      <c r="C53" s="395"/>
      <c r="D53" s="424">
        <f aca="true" t="shared" si="15" ref="D53:O53">SUM(D54:D55)</f>
        <v>2379</v>
      </c>
      <c r="E53" s="425">
        <f t="shared" si="15"/>
        <v>1565987</v>
      </c>
      <c r="F53" s="424">
        <f t="shared" si="15"/>
        <v>1984</v>
      </c>
      <c r="G53" s="425">
        <f t="shared" si="15"/>
        <v>185218</v>
      </c>
      <c r="H53" s="417">
        <f t="shared" si="15"/>
        <v>172</v>
      </c>
      <c r="I53" s="418">
        <f t="shared" si="15"/>
        <v>374546</v>
      </c>
      <c r="J53" s="417">
        <f t="shared" si="15"/>
        <v>207</v>
      </c>
      <c r="K53" s="418">
        <f t="shared" si="15"/>
        <v>854391</v>
      </c>
      <c r="L53" s="417">
        <f t="shared" si="15"/>
        <v>11</v>
      </c>
      <c r="M53" s="418">
        <f t="shared" si="15"/>
        <v>80333</v>
      </c>
      <c r="N53" s="417">
        <f t="shared" si="15"/>
        <v>5</v>
      </c>
      <c r="O53" s="418">
        <f t="shared" si="15"/>
        <v>71499</v>
      </c>
    </row>
    <row r="54" spans="2:15" s="50" customFormat="1" ht="15" customHeight="1">
      <c r="B54" s="399"/>
      <c r="C54" s="400" t="s">
        <v>332</v>
      </c>
      <c r="D54" s="426">
        <f>+F54+H54+J54+L54+N54</f>
        <v>2283</v>
      </c>
      <c r="E54" s="402">
        <f>+G54+I54+K54+M54+O54</f>
        <v>1209611</v>
      </c>
      <c r="F54" s="427">
        <v>1983</v>
      </c>
      <c r="G54" s="428">
        <v>184344</v>
      </c>
      <c r="H54" s="401">
        <v>121</v>
      </c>
      <c r="I54" s="402">
        <v>274557</v>
      </c>
      <c r="J54" s="401">
        <v>178</v>
      </c>
      <c r="K54" s="402">
        <v>728238</v>
      </c>
      <c r="L54" s="401">
        <v>0</v>
      </c>
      <c r="M54" s="402">
        <v>0</v>
      </c>
      <c r="N54" s="401">
        <v>1</v>
      </c>
      <c r="O54" s="402">
        <v>22472</v>
      </c>
    </row>
    <row r="55" spans="2:15" s="50" customFormat="1" ht="15" customHeight="1">
      <c r="B55" s="407"/>
      <c r="C55" s="408" t="s">
        <v>333</v>
      </c>
      <c r="D55" s="420">
        <f>+F55+H55+J55+L55+N55</f>
        <v>96</v>
      </c>
      <c r="E55" s="410">
        <f>+G55+I55+K55+M55+O55</f>
        <v>356376</v>
      </c>
      <c r="F55" s="411">
        <v>1</v>
      </c>
      <c r="G55" s="412">
        <v>874</v>
      </c>
      <c r="H55" s="409">
        <v>51</v>
      </c>
      <c r="I55" s="410">
        <v>99989</v>
      </c>
      <c r="J55" s="409">
        <v>29</v>
      </c>
      <c r="K55" s="410">
        <v>126153</v>
      </c>
      <c r="L55" s="409">
        <v>11</v>
      </c>
      <c r="M55" s="410">
        <v>80333</v>
      </c>
      <c r="N55" s="409">
        <v>4</v>
      </c>
      <c r="O55" s="410">
        <v>49027</v>
      </c>
    </row>
    <row r="56" spans="2:15" s="50" customFormat="1" ht="15" customHeight="1">
      <c r="B56" s="395" t="s">
        <v>35</v>
      </c>
      <c r="C56" s="395"/>
      <c r="D56" s="424">
        <f aca="true" t="shared" si="16" ref="D56:O56">SUM(D57:D58)</f>
        <v>2366</v>
      </c>
      <c r="E56" s="425">
        <f t="shared" si="16"/>
        <v>1572192</v>
      </c>
      <c r="F56" s="424">
        <f t="shared" si="16"/>
        <v>1988</v>
      </c>
      <c r="G56" s="425">
        <f t="shared" si="16"/>
        <v>211231</v>
      </c>
      <c r="H56" s="417">
        <f t="shared" si="16"/>
        <v>118</v>
      </c>
      <c r="I56" s="418">
        <f t="shared" si="16"/>
        <v>243332</v>
      </c>
      <c r="J56" s="417">
        <f t="shared" si="16"/>
        <v>252</v>
      </c>
      <c r="K56" s="418">
        <f t="shared" si="16"/>
        <v>1031562</v>
      </c>
      <c r="L56" s="417">
        <f t="shared" si="16"/>
        <v>4</v>
      </c>
      <c r="M56" s="418">
        <f t="shared" si="16"/>
        <v>25356</v>
      </c>
      <c r="N56" s="417">
        <f t="shared" si="16"/>
        <v>4</v>
      </c>
      <c r="O56" s="418">
        <f t="shared" si="16"/>
        <v>60711</v>
      </c>
    </row>
    <row r="57" spans="2:15" s="50" customFormat="1" ht="15" customHeight="1">
      <c r="B57" s="399"/>
      <c r="C57" s="400" t="s">
        <v>332</v>
      </c>
      <c r="D57" s="426">
        <f>+F57+H57+J57+L57+N57</f>
        <v>2295</v>
      </c>
      <c r="E57" s="402">
        <f>+G57+I57+K57+M57+O57</f>
        <v>1293500</v>
      </c>
      <c r="F57" s="427">
        <v>1987</v>
      </c>
      <c r="G57" s="428">
        <v>211015</v>
      </c>
      <c r="H57" s="401">
        <v>82</v>
      </c>
      <c r="I57" s="402">
        <v>176823</v>
      </c>
      <c r="J57" s="401">
        <v>226</v>
      </c>
      <c r="K57" s="402">
        <v>905662</v>
      </c>
      <c r="L57" s="401">
        <v>0</v>
      </c>
      <c r="M57" s="402">
        <v>0</v>
      </c>
      <c r="N57" s="401">
        <v>0</v>
      </c>
      <c r="O57" s="402">
        <v>0</v>
      </c>
    </row>
    <row r="58" spans="2:15" s="50" customFormat="1" ht="15" customHeight="1">
      <c r="B58" s="407"/>
      <c r="C58" s="408" t="s">
        <v>333</v>
      </c>
      <c r="D58" s="420">
        <f>+F58+H58+J58+L58+N58</f>
        <v>71</v>
      </c>
      <c r="E58" s="410">
        <f>+G58+I58+K58+M58+O58</f>
        <v>278692</v>
      </c>
      <c r="F58" s="411">
        <v>1</v>
      </c>
      <c r="G58" s="412">
        <v>216</v>
      </c>
      <c r="H58" s="409">
        <v>36</v>
      </c>
      <c r="I58" s="410">
        <v>66509</v>
      </c>
      <c r="J58" s="409">
        <v>26</v>
      </c>
      <c r="K58" s="410">
        <v>125900</v>
      </c>
      <c r="L58" s="409">
        <v>4</v>
      </c>
      <c r="M58" s="410">
        <v>25356</v>
      </c>
      <c r="N58" s="409">
        <v>4</v>
      </c>
      <c r="O58" s="410">
        <v>60711</v>
      </c>
    </row>
    <row r="59" s="50" customFormat="1" ht="15" customHeight="1">
      <c r="O59" s="32" t="s">
        <v>334</v>
      </c>
    </row>
    <row r="60" spans="1:2" s="429" customFormat="1" ht="17.25" customHeight="1">
      <c r="A60" s="429">
        <v>2</v>
      </c>
      <c r="B60" s="429" t="s">
        <v>335</v>
      </c>
    </row>
    <row r="61" spans="2:15" s="50" customFormat="1" ht="15" customHeight="1">
      <c r="B61" s="430" t="s">
        <v>1</v>
      </c>
      <c r="C61" s="431"/>
      <c r="D61" s="432" t="s">
        <v>324</v>
      </c>
      <c r="E61" s="432"/>
      <c r="F61" s="433" t="s">
        <v>336</v>
      </c>
      <c r="G61" s="433"/>
      <c r="H61" s="433"/>
      <c r="I61" s="433"/>
      <c r="J61" s="434" t="s">
        <v>337</v>
      </c>
      <c r="K61" s="435"/>
      <c r="L61" s="434" t="s">
        <v>338</v>
      </c>
      <c r="M61" s="435"/>
      <c r="N61" s="436" t="s">
        <v>339</v>
      </c>
      <c r="O61" s="432"/>
    </row>
    <row r="62" spans="2:15" s="50" customFormat="1" ht="15" customHeight="1">
      <c r="B62" s="437"/>
      <c r="C62" s="438"/>
      <c r="D62" s="432"/>
      <c r="E62" s="432"/>
      <c r="F62" s="439"/>
      <c r="G62" s="440"/>
      <c r="H62" s="432" t="s">
        <v>340</v>
      </c>
      <c r="I62" s="432"/>
      <c r="J62" s="434"/>
      <c r="K62" s="435"/>
      <c r="L62" s="434"/>
      <c r="M62" s="435"/>
      <c r="N62" s="436"/>
      <c r="O62" s="432"/>
    </row>
    <row r="63" spans="2:15" s="50" customFormat="1" ht="15" customHeight="1">
      <c r="B63" s="439"/>
      <c r="C63" s="441"/>
      <c r="D63" s="442" t="s">
        <v>330</v>
      </c>
      <c r="E63" s="443" t="s">
        <v>331</v>
      </c>
      <c r="F63" s="442" t="s">
        <v>330</v>
      </c>
      <c r="G63" s="443" t="s">
        <v>331</v>
      </c>
      <c r="H63" s="442" t="s">
        <v>330</v>
      </c>
      <c r="I63" s="443" t="s">
        <v>331</v>
      </c>
      <c r="J63" s="442" t="s">
        <v>330</v>
      </c>
      <c r="K63" s="443" t="s">
        <v>331</v>
      </c>
      <c r="L63" s="442" t="s">
        <v>330</v>
      </c>
      <c r="M63" s="443" t="s">
        <v>331</v>
      </c>
      <c r="N63" s="442" t="s">
        <v>330</v>
      </c>
      <c r="O63" s="443" t="s">
        <v>331</v>
      </c>
    </row>
    <row r="64" spans="2:15" s="50" customFormat="1" ht="18" customHeight="1" hidden="1">
      <c r="B64" s="444" t="s">
        <v>19</v>
      </c>
      <c r="C64" s="444"/>
      <c r="D64" s="445">
        <f aca="true" t="shared" si="17" ref="D64:E68">+F64+J64+L64+N64</f>
        <v>4322</v>
      </c>
      <c r="E64" s="446">
        <f t="shared" si="17"/>
        <v>1296889</v>
      </c>
      <c r="F64" s="447">
        <v>2216</v>
      </c>
      <c r="G64" s="446">
        <v>1141790</v>
      </c>
      <c r="H64" s="447">
        <v>43</v>
      </c>
      <c r="I64" s="446">
        <v>231278</v>
      </c>
      <c r="J64" s="447">
        <v>1789</v>
      </c>
      <c r="K64" s="446">
        <v>75158</v>
      </c>
      <c r="L64" s="447">
        <v>317</v>
      </c>
      <c r="M64" s="446">
        <v>79941</v>
      </c>
      <c r="N64" s="447">
        <v>0</v>
      </c>
      <c r="O64" s="446">
        <v>0</v>
      </c>
    </row>
    <row r="65" spans="2:15" s="50" customFormat="1" ht="18" customHeight="1" hidden="1">
      <c r="B65" s="444" t="s">
        <v>20</v>
      </c>
      <c r="C65" s="444"/>
      <c r="D65" s="445">
        <f t="shared" si="17"/>
        <v>4146</v>
      </c>
      <c r="E65" s="446">
        <f t="shared" si="17"/>
        <v>1820609</v>
      </c>
      <c r="F65" s="447">
        <v>2126</v>
      </c>
      <c r="G65" s="446">
        <v>1605393</v>
      </c>
      <c r="H65" s="447">
        <v>42</v>
      </c>
      <c r="I65" s="446">
        <v>532349</v>
      </c>
      <c r="J65" s="447">
        <v>1595</v>
      </c>
      <c r="K65" s="446">
        <v>67001</v>
      </c>
      <c r="L65" s="447">
        <v>416</v>
      </c>
      <c r="M65" s="446">
        <v>141627</v>
      </c>
      <c r="N65" s="447">
        <v>9</v>
      </c>
      <c r="O65" s="446">
        <v>6588</v>
      </c>
    </row>
    <row r="66" spans="2:15" s="50" customFormat="1" ht="18" customHeight="1" hidden="1">
      <c r="B66" s="444" t="s">
        <v>14</v>
      </c>
      <c r="C66" s="444"/>
      <c r="D66" s="445">
        <f t="shared" si="17"/>
        <v>3538</v>
      </c>
      <c r="E66" s="446">
        <f t="shared" si="17"/>
        <v>1240116</v>
      </c>
      <c r="F66" s="447">
        <v>1646</v>
      </c>
      <c r="G66" s="446">
        <v>1009585</v>
      </c>
      <c r="H66" s="447">
        <v>47</v>
      </c>
      <c r="I66" s="446">
        <v>203651</v>
      </c>
      <c r="J66" s="447">
        <v>1402</v>
      </c>
      <c r="K66" s="446">
        <v>60921</v>
      </c>
      <c r="L66" s="447">
        <v>363</v>
      </c>
      <c r="M66" s="446">
        <v>160015</v>
      </c>
      <c r="N66" s="447">
        <v>127</v>
      </c>
      <c r="O66" s="446">
        <v>9595</v>
      </c>
    </row>
    <row r="67" spans="2:15" s="50" customFormat="1" ht="18" customHeight="1" hidden="1">
      <c r="B67" s="444" t="s">
        <v>15</v>
      </c>
      <c r="C67" s="444"/>
      <c r="D67" s="445">
        <f t="shared" si="17"/>
        <v>3455</v>
      </c>
      <c r="E67" s="446">
        <f t="shared" si="17"/>
        <v>1285500</v>
      </c>
      <c r="F67" s="447">
        <v>1695</v>
      </c>
      <c r="G67" s="446">
        <v>1064454</v>
      </c>
      <c r="H67" s="447">
        <v>43</v>
      </c>
      <c r="I67" s="446">
        <v>226965</v>
      </c>
      <c r="J67" s="447">
        <v>1419</v>
      </c>
      <c r="K67" s="446">
        <v>61829</v>
      </c>
      <c r="L67" s="447">
        <v>340</v>
      </c>
      <c r="M67" s="446">
        <v>159198</v>
      </c>
      <c r="N67" s="447">
        <v>1</v>
      </c>
      <c r="O67" s="446">
        <v>19</v>
      </c>
    </row>
    <row r="68" spans="2:15" s="50" customFormat="1" ht="18" customHeight="1">
      <c r="B68" s="444" t="s">
        <v>16</v>
      </c>
      <c r="C68" s="444"/>
      <c r="D68" s="445">
        <f t="shared" si="17"/>
        <v>3164</v>
      </c>
      <c r="E68" s="448">
        <f t="shared" si="17"/>
        <v>1356742</v>
      </c>
      <c r="F68" s="449">
        <v>1568</v>
      </c>
      <c r="G68" s="448">
        <v>1198354</v>
      </c>
      <c r="H68" s="449">
        <v>43</v>
      </c>
      <c r="I68" s="448">
        <v>235516</v>
      </c>
      <c r="J68" s="449">
        <v>1315</v>
      </c>
      <c r="K68" s="448">
        <v>54495</v>
      </c>
      <c r="L68" s="449">
        <v>281</v>
      </c>
      <c r="M68" s="448">
        <v>103893</v>
      </c>
      <c r="N68" s="449">
        <v>0</v>
      </c>
      <c r="O68" s="446">
        <v>0</v>
      </c>
    </row>
    <row r="69" spans="2:15" s="50" customFormat="1" ht="18" customHeight="1">
      <c r="B69" s="444" t="s">
        <v>12</v>
      </c>
      <c r="C69" s="444"/>
      <c r="D69" s="450">
        <v>3414</v>
      </c>
      <c r="E69" s="451">
        <v>1510395</v>
      </c>
      <c r="F69" s="450">
        <v>1692</v>
      </c>
      <c r="G69" s="451">
        <v>17125414</v>
      </c>
      <c r="H69" s="450">
        <v>341</v>
      </c>
      <c r="I69" s="451">
        <v>2988281</v>
      </c>
      <c r="J69" s="450">
        <v>201</v>
      </c>
      <c r="K69" s="451">
        <v>18587</v>
      </c>
      <c r="L69" s="450">
        <v>187</v>
      </c>
      <c r="M69" s="451">
        <v>54715</v>
      </c>
      <c r="N69" s="450">
        <v>0</v>
      </c>
      <c r="O69" s="451">
        <v>0</v>
      </c>
    </row>
    <row r="70" spans="2:15" s="50" customFormat="1" ht="18" customHeight="1">
      <c r="B70" s="444" t="s">
        <v>13</v>
      </c>
      <c r="C70" s="444"/>
      <c r="D70" s="450">
        <v>3055</v>
      </c>
      <c r="E70" s="451">
        <v>1508310</v>
      </c>
      <c r="F70" s="450">
        <v>1723</v>
      </c>
      <c r="G70" s="451">
        <v>1401395</v>
      </c>
      <c r="H70" s="450">
        <v>78</v>
      </c>
      <c r="I70" s="451">
        <v>292145</v>
      </c>
      <c r="J70" s="450">
        <v>1218</v>
      </c>
      <c r="K70" s="451">
        <v>50507</v>
      </c>
      <c r="L70" s="450">
        <v>114</v>
      </c>
      <c r="M70" s="451">
        <v>56408</v>
      </c>
      <c r="N70" s="450">
        <v>0</v>
      </c>
      <c r="O70" s="451">
        <v>0</v>
      </c>
    </row>
    <row r="71" spans="2:15" s="50" customFormat="1" ht="18" customHeight="1">
      <c r="B71" s="444" t="s">
        <v>7</v>
      </c>
      <c r="C71" s="444"/>
      <c r="D71" s="450">
        <v>3105</v>
      </c>
      <c r="E71" s="451">
        <v>1611129</v>
      </c>
      <c r="F71" s="450">
        <v>1662</v>
      </c>
      <c r="G71" s="451">
        <v>1501177</v>
      </c>
      <c r="H71" s="450">
        <v>101</v>
      </c>
      <c r="I71" s="451">
        <v>312502</v>
      </c>
      <c r="J71" s="450">
        <v>1198</v>
      </c>
      <c r="K71" s="451">
        <v>49063</v>
      </c>
      <c r="L71" s="450">
        <v>244</v>
      </c>
      <c r="M71" s="451">
        <v>60390</v>
      </c>
      <c r="N71" s="450">
        <v>1</v>
      </c>
      <c r="O71" s="451">
        <v>499</v>
      </c>
    </row>
    <row r="72" spans="2:15" s="50" customFormat="1" ht="18" customHeight="1">
      <c r="B72" s="444" t="s">
        <v>17</v>
      </c>
      <c r="C72" s="444"/>
      <c r="D72" s="450">
        <f aca="true" t="shared" si="18" ref="D72:E80">+F72+J72+L72+N72</f>
        <v>3308</v>
      </c>
      <c r="E72" s="451">
        <f t="shared" si="18"/>
        <v>2022004</v>
      </c>
      <c r="F72" s="450">
        <v>1803</v>
      </c>
      <c r="G72" s="451">
        <v>1925247</v>
      </c>
      <c r="H72" s="450">
        <v>192</v>
      </c>
      <c r="I72" s="451">
        <v>612677</v>
      </c>
      <c r="J72" s="450">
        <v>1307</v>
      </c>
      <c r="K72" s="451">
        <v>52451</v>
      </c>
      <c r="L72" s="450">
        <v>198</v>
      </c>
      <c r="M72" s="451">
        <v>44306</v>
      </c>
      <c r="N72" s="450">
        <v>0</v>
      </c>
      <c r="O72" s="451">
        <v>0</v>
      </c>
    </row>
    <row r="73" spans="2:15" s="50" customFormat="1" ht="18" customHeight="1">
      <c r="B73" s="444" t="s">
        <v>24</v>
      </c>
      <c r="C73" s="444"/>
      <c r="D73" s="450">
        <f t="shared" si="18"/>
        <v>3307</v>
      </c>
      <c r="E73" s="451">
        <f t="shared" si="18"/>
        <v>2069321</v>
      </c>
      <c r="F73" s="450">
        <v>1918</v>
      </c>
      <c r="G73" s="451">
        <v>1991797</v>
      </c>
      <c r="H73" s="450">
        <v>208</v>
      </c>
      <c r="I73" s="451">
        <v>677621</v>
      </c>
      <c r="J73" s="450">
        <v>1249</v>
      </c>
      <c r="K73" s="451">
        <v>48988</v>
      </c>
      <c r="L73" s="450">
        <v>140</v>
      </c>
      <c r="M73" s="451">
        <v>28536</v>
      </c>
      <c r="N73" s="450">
        <v>0</v>
      </c>
      <c r="O73" s="451">
        <v>0</v>
      </c>
    </row>
    <row r="74" spans="2:15" s="50" customFormat="1" ht="18" customHeight="1">
      <c r="B74" s="444" t="s">
        <v>25</v>
      </c>
      <c r="C74" s="444"/>
      <c r="D74" s="450">
        <f t="shared" si="18"/>
        <v>3109</v>
      </c>
      <c r="E74" s="451">
        <f t="shared" si="18"/>
        <v>1990309</v>
      </c>
      <c r="F74" s="450">
        <f>1705+H74</f>
        <v>1909</v>
      </c>
      <c r="G74" s="451">
        <f>1229204+I74</f>
        <v>1907677</v>
      </c>
      <c r="H74" s="450">
        <v>204</v>
      </c>
      <c r="I74" s="451">
        <v>678473</v>
      </c>
      <c r="J74" s="450">
        <v>1058</v>
      </c>
      <c r="K74" s="451">
        <v>42894</v>
      </c>
      <c r="L74" s="450">
        <v>142</v>
      </c>
      <c r="M74" s="451">
        <v>39738</v>
      </c>
      <c r="N74" s="450">
        <v>0</v>
      </c>
      <c r="O74" s="451">
        <v>0</v>
      </c>
    </row>
    <row r="75" spans="2:15" s="50" customFormat="1" ht="18" customHeight="1">
      <c r="B75" s="444" t="s">
        <v>26</v>
      </c>
      <c r="C75" s="444"/>
      <c r="D75" s="450">
        <f t="shared" si="18"/>
        <v>2749</v>
      </c>
      <c r="E75" s="451">
        <f t="shared" si="18"/>
        <v>1511314</v>
      </c>
      <c r="F75" s="450">
        <v>1637</v>
      </c>
      <c r="G75" s="451">
        <v>1436145</v>
      </c>
      <c r="H75" s="450">
        <v>112</v>
      </c>
      <c r="I75" s="451">
        <v>311947</v>
      </c>
      <c r="J75" s="450">
        <v>988</v>
      </c>
      <c r="K75" s="451">
        <v>38532</v>
      </c>
      <c r="L75" s="450">
        <v>123</v>
      </c>
      <c r="M75" s="451">
        <v>36139</v>
      </c>
      <c r="N75" s="450">
        <v>1</v>
      </c>
      <c r="O75" s="451">
        <v>498</v>
      </c>
    </row>
    <row r="76" spans="2:15" s="50" customFormat="1" ht="17.25" customHeight="1">
      <c r="B76" s="444" t="s">
        <v>29</v>
      </c>
      <c r="C76" s="444"/>
      <c r="D76" s="450">
        <f t="shared" si="18"/>
        <v>2710</v>
      </c>
      <c r="E76" s="451">
        <f t="shared" si="18"/>
        <v>1637943</v>
      </c>
      <c r="F76" s="450">
        <v>1602</v>
      </c>
      <c r="G76" s="451">
        <v>1567997</v>
      </c>
      <c r="H76" s="450">
        <v>109</v>
      </c>
      <c r="I76" s="451">
        <v>399399</v>
      </c>
      <c r="J76" s="450">
        <v>980</v>
      </c>
      <c r="K76" s="451">
        <v>38200</v>
      </c>
      <c r="L76" s="450">
        <v>127</v>
      </c>
      <c r="M76" s="451">
        <v>31645</v>
      </c>
      <c r="N76" s="450">
        <v>1</v>
      </c>
      <c r="O76" s="451">
        <v>101</v>
      </c>
    </row>
    <row r="77" spans="2:15" s="50" customFormat="1" ht="17.25" customHeight="1">
      <c r="B77" s="444" t="s">
        <v>30</v>
      </c>
      <c r="C77" s="444"/>
      <c r="D77" s="450">
        <f t="shared" si="18"/>
        <v>2678</v>
      </c>
      <c r="E77" s="451">
        <f t="shared" si="18"/>
        <v>1578325</v>
      </c>
      <c r="F77" s="450">
        <v>1573</v>
      </c>
      <c r="G77" s="451">
        <v>1512812</v>
      </c>
      <c r="H77" s="450">
        <v>94</v>
      </c>
      <c r="I77" s="451">
        <v>364796</v>
      </c>
      <c r="J77" s="450">
        <v>1018</v>
      </c>
      <c r="K77" s="451">
        <v>39702</v>
      </c>
      <c r="L77" s="450">
        <v>82</v>
      </c>
      <c r="M77" s="451">
        <v>23865</v>
      </c>
      <c r="N77" s="450">
        <v>5</v>
      </c>
      <c r="O77" s="451">
        <v>1946</v>
      </c>
    </row>
    <row r="78" spans="2:15" s="50" customFormat="1" ht="17.25" customHeight="1">
      <c r="B78" s="444" t="s">
        <v>32</v>
      </c>
      <c r="C78" s="444"/>
      <c r="D78" s="450">
        <f t="shared" si="18"/>
        <v>2528</v>
      </c>
      <c r="E78" s="451">
        <f t="shared" si="18"/>
        <v>1569395</v>
      </c>
      <c r="F78" s="450">
        <v>1460</v>
      </c>
      <c r="G78" s="451">
        <v>1511598</v>
      </c>
      <c r="H78" s="450">
        <v>108</v>
      </c>
      <c r="I78" s="451">
        <v>362375</v>
      </c>
      <c r="J78" s="450">
        <v>990</v>
      </c>
      <c r="K78" s="451">
        <v>38294</v>
      </c>
      <c r="L78" s="450">
        <v>77</v>
      </c>
      <c r="M78" s="451">
        <v>17904</v>
      </c>
      <c r="N78" s="450">
        <v>1</v>
      </c>
      <c r="O78" s="451">
        <v>1599</v>
      </c>
    </row>
    <row r="79" spans="2:15" s="50" customFormat="1" ht="17.25" customHeight="1">
      <c r="B79" s="444" t="s">
        <v>33</v>
      </c>
      <c r="C79" s="444"/>
      <c r="D79" s="450">
        <f t="shared" si="18"/>
        <v>2557</v>
      </c>
      <c r="E79" s="451">
        <f t="shared" si="18"/>
        <v>1603616</v>
      </c>
      <c r="F79" s="450">
        <v>1411</v>
      </c>
      <c r="G79" s="451">
        <v>1543314</v>
      </c>
      <c r="H79" s="450">
        <v>108</v>
      </c>
      <c r="I79" s="451">
        <v>395299</v>
      </c>
      <c r="J79" s="450">
        <v>1019</v>
      </c>
      <c r="K79" s="451">
        <v>39741</v>
      </c>
      <c r="L79" s="450">
        <v>125</v>
      </c>
      <c r="M79" s="451">
        <v>20523</v>
      </c>
      <c r="N79" s="450">
        <v>2</v>
      </c>
      <c r="O79" s="451">
        <v>38</v>
      </c>
    </row>
    <row r="80" spans="2:15" s="50" customFormat="1" ht="17.25" customHeight="1">
      <c r="B80" s="444" t="s">
        <v>34</v>
      </c>
      <c r="C80" s="444"/>
      <c r="D80" s="450">
        <f t="shared" si="18"/>
        <v>2379</v>
      </c>
      <c r="E80" s="451">
        <f t="shared" si="18"/>
        <v>1565987</v>
      </c>
      <c r="F80" s="450">
        <v>1409</v>
      </c>
      <c r="G80" s="451">
        <v>1511284</v>
      </c>
      <c r="H80" s="450">
        <v>96</v>
      </c>
      <c r="I80" s="451">
        <v>356376</v>
      </c>
      <c r="J80" s="450">
        <v>874</v>
      </c>
      <c r="K80" s="451">
        <v>34086</v>
      </c>
      <c r="L80" s="450">
        <v>92</v>
      </c>
      <c r="M80" s="451">
        <v>20281</v>
      </c>
      <c r="N80" s="450">
        <v>4</v>
      </c>
      <c r="O80" s="451">
        <v>336</v>
      </c>
    </row>
    <row r="81" spans="2:15" s="50" customFormat="1" ht="17.25" customHeight="1">
      <c r="B81" s="444" t="s">
        <v>35</v>
      </c>
      <c r="C81" s="444"/>
      <c r="D81" s="450">
        <f>+F81+J81+L81+N81</f>
        <v>2366</v>
      </c>
      <c r="E81" s="451">
        <f>+G81+K81+M81+O81</f>
        <v>1572192</v>
      </c>
      <c r="F81" s="450">
        <v>1474</v>
      </c>
      <c r="G81" s="451">
        <v>1516693</v>
      </c>
      <c r="H81" s="450">
        <v>70</v>
      </c>
      <c r="I81" s="451">
        <v>278476</v>
      </c>
      <c r="J81" s="450">
        <v>818</v>
      </c>
      <c r="K81" s="451">
        <v>31902</v>
      </c>
      <c r="L81" s="450">
        <v>74</v>
      </c>
      <c r="M81" s="451">
        <v>23597</v>
      </c>
      <c r="N81" s="450">
        <v>0</v>
      </c>
      <c r="O81" s="451">
        <v>0</v>
      </c>
    </row>
    <row r="82" s="2" customFormat="1" ht="15" customHeight="1">
      <c r="O82" s="32" t="s">
        <v>334</v>
      </c>
    </row>
    <row r="83" s="2" customFormat="1" ht="11.25"/>
    <row r="84" spans="4:13" s="2" customFormat="1" ht="11.25">
      <c r="D84" s="452"/>
      <c r="E84" s="452"/>
      <c r="F84" s="452"/>
      <c r="G84" s="452"/>
      <c r="I84" s="452"/>
      <c r="J84" s="452"/>
      <c r="K84" s="452"/>
      <c r="M84" s="452"/>
    </row>
  </sheetData>
  <sheetProtection/>
  <mergeCells count="69">
    <mergeCell ref="B79:C79"/>
    <mergeCell ref="B80:C80"/>
    <mergeCell ref="B81:C81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N61:O62"/>
    <mergeCell ref="F62:G62"/>
    <mergeCell ref="H62:I62"/>
    <mergeCell ref="B64:C64"/>
    <mergeCell ref="B65:C65"/>
    <mergeCell ref="B66:C66"/>
    <mergeCell ref="B57:B58"/>
    <mergeCell ref="B61:C63"/>
    <mergeCell ref="D61:E62"/>
    <mergeCell ref="F61:I61"/>
    <mergeCell ref="J61:K62"/>
    <mergeCell ref="L61:M62"/>
    <mergeCell ref="B48:B49"/>
    <mergeCell ref="B50:C50"/>
    <mergeCell ref="B51:B52"/>
    <mergeCell ref="B53:C53"/>
    <mergeCell ref="B54:B55"/>
    <mergeCell ref="B56:C56"/>
    <mergeCell ref="B39:B40"/>
    <mergeCell ref="B41:C41"/>
    <mergeCell ref="B42:B43"/>
    <mergeCell ref="B44:C44"/>
    <mergeCell ref="B45:B46"/>
    <mergeCell ref="B47:C47"/>
    <mergeCell ref="B30:B31"/>
    <mergeCell ref="B32:C32"/>
    <mergeCell ref="B33:B34"/>
    <mergeCell ref="B35:C35"/>
    <mergeCell ref="B36:B37"/>
    <mergeCell ref="B38:C38"/>
    <mergeCell ref="B21:B22"/>
    <mergeCell ref="B23:C23"/>
    <mergeCell ref="B24:B25"/>
    <mergeCell ref="B26:C26"/>
    <mergeCell ref="B27:B28"/>
    <mergeCell ref="B29:C29"/>
    <mergeCell ref="B12:B13"/>
    <mergeCell ref="B14:C14"/>
    <mergeCell ref="B15:B16"/>
    <mergeCell ref="B17:C17"/>
    <mergeCell ref="B18:B19"/>
    <mergeCell ref="B20:C20"/>
    <mergeCell ref="N3:O3"/>
    <mergeCell ref="B5:C5"/>
    <mergeCell ref="B6:B7"/>
    <mergeCell ref="B8:C8"/>
    <mergeCell ref="B9:B10"/>
    <mergeCell ref="B11:C11"/>
    <mergeCell ref="B3:C4"/>
    <mergeCell ref="D3:E3"/>
    <mergeCell ref="F3:G3"/>
    <mergeCell ref="H3:I3"/>
    <mergeCell ref="J3:K3"/>
    <mergeCell ref="L3:M3"/>
  </mergeCells>
  <printOptions/>
  <pageMargins left="0.5905511811023623" right="0.5905511811023623" top="0.7874015748031497" bottom="0.47" header="0.3937007874015748" footer="0.3937007874015748"/>
  <pageSetup horizontalDpi="600" verticalDpi="600" orientation="portrait" paperSize="9" r:id="rId1"/>
  <headerFooter alignWithMargins="0">
    <oddHeader>&amp;R15.交通・通信</oddHeader>
    <oddFooter>&amp;C-108-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牧田　恵</cp:lastModifiedBy>
  <cp:lastPrinted>2016-04-13T10:49:32Z</cp:lastPrinted>
  <dcterms:created xsi:type="dcterms:W3CDTF">2007-01-26T11:17:23Z</dcterms:created>
  <dcterms:modified xsi:type="dcterms:W3CDTF">2016-05-26T04:21:24Z</dcterms:modified>
  <cp:category/>
  <cp:version/>
  <cp:contentType/>
  <cp:contentStatus/>
</cp:coreProperties>
</file>